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Swetha\Desktop\"/>
    </mc:Choice>
  </mc:AlternateContent>
  <xr:revisionPtr revIDLastSave="0" documentId="13_ncr:1_{A3F05249-A83C-4F58-8B96-DA11C492F99A}" xr6:coauthVersionLast="40" xr6:coauthVersionMax="40" xr10:uidLastSave="{00000000-0000-0000-0000-000000000000}"/>
  <workbookProtection workbookPassword="944E" lockStructure="1"/>
  <bookViews>
    <workbookView xWindow="0" yWindow="0" windowWidth="19200" windowHeight="6850" tabRatio="833" firstSheet="4" activeTab="6" xr2:uid="{00000000-000D-0000-FFFF-FFFF00000000}"/>
  </bookViews>
  <sheets>
    <sheet name="Validation" sheetId="45" state="hidden" r:id="rId1"/>
    <sheet name="Home Mover AIP" sheetId="27" state="hidden" r:id="rId2"/>
    <sheet name="Daft Rents" sheetId="44" state="hidden" r:id="rId3"/>
    <sheet name="Daft Yields" sheetId="43" state="hidden" r:id="rId4"/>
    <sheet name="Home Loan - MDIR" sheetId="40" r:id="rId5"/>
    <sheet name="Self Build - AIP" sheetId="38" state="hidden" r:id="rId6"/>
    <sheet name="BTL Template" sheetId="42" r:id="rId7"/>
    <sheet name="Home Loan AIP" sheetId="35" state="hidden" r:id="rId8"/>
    <sheet name="Funds Flow" sheetId="33" state="hidden" r:id="rId9"/>
    <sheet name="TAX Rates" sheetId="11" state="hidden" r:id="rId10"/>
    <sheet name="Data" sheetId="47" state="hidden" r:id="rId11"/>
  </sheets>
  <definedNames>
    <definedName name="_xlnm.Print_Area" localSheetId="6">'BTL Template'!$A$1:$S$47</definedName>
    <definedName name="_xlnm.Print_Area" localSheetId="3">'Daft Yields'!$A$4:$B$25</definedName>
    <definedName name="_xlnm.Print_Area" localSheetId="4">'Home Loan - MDIR'!$A$1:$L$160</definedName>
    <definedName name="_xlnm.Print_Area" localSheetId="7">'Home Loan AIP'!$A$6:$A$130</definedName>
    <definedName name="_xlnm.Print_Area" localSheetId="1">'Home Mover AIP'!$A$7:$E$218</definedName>
    <definedName name="_xlnm.Print_Area" localSheetId="5">'Self Build - AIP'!$A$6:$A$135</definedName>
    <definedName name="_xlnm.Print_Area" localSheetId="9">'TAX Rates'!$A$1:$G$45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8" i="40" l="1"/>
  <c r="T38" i="40"/>
  <c r="S38" i="40"/>
  <c r="R38" i="40"/>
  <c r="Q38" i="40"/>
  <c r="P38" i="40"/>
  <c r="E59" i="40" l="1"/>
  <c r="E57" i="40"/>
  <c r="E55" i="40"/>
  <c r="E53" i="40"/>
  <c r="T41" i="40"/>
  <c r="S41" i="40"/>
  <c r="R41" i="40"/>
  <c r="Q41" i="40"/>
  <c r="P41" i="40"/>
  <c r="J35" i="40" l="1"/>
  <c r="R31" i="40" s="1"/>
  <c r="P32" i="40" s="1"/>
  <c r="P29" i="40" l="1"/>
  <c r="P31" i="40"/>
  <c r="P33" i="40" s="1"/>
  <c r="C22" i="42"/>
  <c r="P28" i="40" l="1"/>
  <c r="K31" i="40" s="1"/>
  <c r="P22" i="42"/>
  <c r="M22" i="42"/>
  <c r="J22" i="42"/>
  <c r="G22" i="42"/>
  <c r="AE35" i="42"/>
  <c r="AB35" i="42"/>
  <c r="Z35" i="42"/>
  <c r="Y35" i="42"/>
  <c r="V35" i="42"/>
  <c r="AE31" i="42"/>
  <c r="P31" i="42" s="1"/>
  <c r="AB31" i="42"/>
  <c r="M31" i="42" s="1"/>
  <c r="Y31" i="42"/>
  <c r="J31" i="42" s="1"/>
  <c r="V31" i="42"/>
  <c r="G31" i="42" s="1"/>
  <c r="AF36" i="42"/>
  <c r="AC36" i="42"/>
  <c r="Z36" i="42"/>
  <c r="W36" i="42"/>
  <c r="AF35" i="42"/>
  <c r="AC35" i="42"/>
  <c r="W35" i="42"/>
  <c r="AF32" i="42"/>
  <c r="AC32" i="42"/>
  <c r="Z32" i="42"/>
  <c r="W32" i="42"/>
  <c r="AF31" i="42"/>
  <c r="AC31" i="42"/>
  <c r="Z31" i="42"/>
  <c r="W31" i="42"/>
  <c r="E12" i="42" l="1"/>
  <c r="U41" i="40" l="1"/>
  <c r="V41" i="40" s="1"/>
  <c r="K30" i="40" l="1"/>
  <c r="AJ1" i="40" l="1"/>
  <c r="AH1" i="40"/>
  <c r="AE1" i="40"/>
  <c r="I103" i="40" s="1"/>
  <c r="AF1" i="40"/>
  <c r="AG1" i="40"/>
  <c r="AI1" i="40"/>
  <c r="BH2" i="47" l="1"/>
  <c r="BF2" i="47"/>
  <c r="A2" i="47"/>
  <c r="BV2" i="47"/>
  <c r="CH2" i="47"/>
  <c r="CG2" i="47"/>
  <c r="CF2" i="47"/>
  <c r="CE2" i="47"/>
  <c r="CD2" i="47"/>
  <c r="CC2" i="47"/>
  <c r="CB2" i="47"/>
  <c r="CA2" i="47"/>
  <c r="BU2" i="47"/>
  <c r="BT2" i="47"/>
  <c r="BS2" i="47"/>
  <c r="BP2" i="47"/>
  <c r="BO2" i="47"/>
  <c r="BN2" i="47"/>
  <c r="BM2" i="47"/>
  <c r="BL2" i="47"/>
  <c r="BK2" i="47"/>
  <c r="BG2" i="47"/>
  <c r="BE2" i="47"/>
  <c r="BD2" i="47"/>
  <c r="BC2" i="47"/>
  <c r="BB2" i="47"/>
  <c r="BA2" i="47"/>
  <c r="AZ2" i="47"/>
  <c r="AQ2" i="47"/>
  <c r="AP2" i="47"/>
  <c r="AO2" i="47"/>
  <c r="AN2" i="47"/>
  <c r="AF2" i="47"/>
  <c r="AE2" i="47"/>
  <c r="X2" i="47"/>
  <c r="W2" i="47"/>
  <c r="R2" i="47"/>
  <c r="Q2" i="47"/>
  <c r="P2" i="47"/>
  <c r="O2" i="47"/>
  <c r="N2" i="47"/>
  <c r="M2" i="47"/>
  <c r="L2" i="47"/>
  <c r="K2" i="47"/>
  <c r="J2" i="47"/>
  <c r="G2" i="47"/>
  <c r="F2" i="47"/>
  <c r="D2" i="47"/>
  <c r="E2" i="47"/>
  <c r="C2" i="47"/>
  <c r="B2" i="47"/>
  <c r="G31" i="40"/>
  <c r="BR2" i="47"/>
  <c r="BQ2" i="47"/>
  <c r="X2" i="40"/>
  <c r="X1" i="40"/>
  <c r="O42" i="40" s="1"/>
  <c r="S1" i="40"/>
  <c r="BJ2" i="47"/>
  <c r="P29" i="42"/>
  <c r="P40" i="42" s="1"/>
  <c r="M29" i="42"/>
  <c r="M40" i="42" s="1"/>
  <c r="J29" i="42"/>
  <c r="J40" i="42" s="1"/>
  <c r="G29" i="42"/>
  <c r="G40" i="42" s="1"/>
  <c r="C29" i="42"/>
  <c r="C40" i="42" s="1"/>
  <c r="P28" i="42"/>
  <c r="M28" i="42"/>
  <c r="J28" i="42"/>
  <c r="C28" i="42"/>
  <c r="G28" i="42"/>
  <c r="Q32" i="42"/>
  <c r="N32" i="42"/>
  <c r="K32" i="42"/>
  <c r="H32" i="42"/>
  <c r="Q31" i="42"/>
  <c r="N31" i="42"/>
  <c r="K31" i="42"/>
  <c r="H31" i="42"/>
  <c r="AC2" i="47"/>
  <c r="BX2" i="47"/>
  <c r="AD2" i="47"/>
  <c r="AB2" i="47"/>
  <c r="AA2" i="47"/>
  <c r="Y2" i="47"/>
  <c r="S2" i="47"/>
  <c r="U2" i="47"/>
  <c r="BI2" i="47"/>
  <c r="C10" i="42"/>
  <c r="G25" i="42"/>
  <c r="G24" i="42"/>
  <c r="E19" i="45"/>
  <c r="E20" i="45" s="1"/>
  <c r="D19" i="45"/>
  <c r="D20" i="45" s="1"/>
  <c r="C19" i="45"/>
  <c r="C20" i="45" s="1"/>
  <c r="B19" i="45"/>
  <c r="B20" i="45" s="1"/>
  <c r="M23" i="42"/>
  <c r="A19" i="45"/>
  <c r="A20" i="45" s="1"/>
  <c r="E17" i="42"/>
  <c r="H2" i="45"/>
  <c r="P25" i="42"/>
  <c r="M25" i="42"/>
  <c r="J25" i="42"/>
  <c r="C25" i="42"/>
  <c r="P24" i="42"/>
  <c r="M24" i="42"/>
  <c r="J24" i="42"/>
  <c r="C24" i="42"/>
  <c r="P23" i="42"/>
  <c r="J23" i="42"/>
  <c r="G23" i="42"/>
  <c r="C23" i="42"/>
  <c r="R21" i="42"/>
  <c r="O21" i="42"/>
  <c r="L21" i="42"/>
  <c r="I21" i="42"/>
  <c r="Q26" i="42"/>
  <c r="N26" i="42"/>
  <c r="M26" i="42"/>
  <c r="A18" i="35"/>
  <c r="P26" i="42"/>
  <c r="A28" i="35"/>
  <c r="A134" i="38"/>
  <c r="A132" i="38"/>
  <c r="A130" i="38"/>
  <c r="A128" i="38"/>
  <c r="A127" i="38"/>
  <c r="A44" i="38"/>
  <c r="A30" i="38"/>
  <c r="A29" i="38"/>
  <c r="A28" i="38"/>
  <c r="A18" i="38"/>
  <c r="A8" i="38"/>
  <c r="A8" i="35"/>
  <c r="A7" i="38"/>
  <c r="A7" i="35"/>
  <c r="K40" i="40"/>
  <c r="O89" i="40"/>
  <c r="I8" i="35"/>
  <c r="AZ193" i="40"/>
  <c r="AB189" i="40"/>
  <c r="AV168" i="40"/>
  <c r="AZ165" i="40"/>
  <c r="AB144" i="40"/>
  <c r="AZ134" i="40"/>
  <c r="AB134" i="40"/>
  <c r="AV131" i="40"/>
  <c r="AV138" i="40" s="1"/>
  <c r="G114" i="40"/>
  <c r="K101" i="40"/>
  <c r="K94" i="40"/>
  <c r="K87" i="40"/>
  <c r="E61" i="40"/>
  <c r="E63" i="40" s="1"/>
  <c r="N32" i="40"/>
  <c r="N31" i="40"/>
  <c r="N25" i="40"/>
  <c r="I24" i="40"/>
  <c r="I23" i="40"/>
  <c r="I22" i="40"/>
  <c r="I21" i="40"/>
  <c r="AW20" i="40"/>
  <c r="AW21" i="40" s="1"/>
  <c r="AW22" i="40" s="1"/>
  <c r="AW23" i="40" s="1"/>
  <c r="I20" i="40"/>
  <c r="I19" i="40"/>
  <c r="R16" i="40"/>
  <c r="AW15" i="40"/>
  <c r="AW16" i="40" s="1"/>
  <c r="AW17" i="40" s="1"/>
  <c r="N14" i="40"/>
  <c r="I14" i="40"/>
  <c r="I13" i="40"/>
  <c r="AW3" i="40"/>
  <c r="AW4" i="40" s="1"/>
  <c r="AW5" i="40" s="1"/>
  <c r="AW6" i="40" s="1"/>
  <c r="AW7" i="40" s="1"/>
  <c r="AW11" i="40" s="1"/>
  <c r="AW12" i="40" s="1"/>
  <c r="AW43" i="40" s="1"/>
  <c r="AW44" i="40" s="1"/>
  <c r="N206" i="40"/>
  <c r="C39" i="27"/>
  <c r="B151" i="27"/>
  <c r="C45" i="27"/>
  <c r="B48" i="27"/>
  <c r="B46" i="27"/>
  <c r="B45" i="27"/>
  <c r="B44" i="27"/>
  <c r="B43" i="27"/>
  <c r="B40" i="27"/>
  <c r="B39" i="27"/>
  <c r="B38" i="27"/>
  <c r="B37" i="27"/>
  <c r="C29" i="27"/>
  <c r="C28" i="27"/>
  <c r="B33" i="27"/>
  <c r="B32" i="27"/>
  <c r="B31" i="27"/>
  <c r="B30" i="27"/>
  <c r="B29" i="27"/>
  <c r="B28" i="27"/>
  <c r="B155" i="27"/>
  <c r="B153" i="27"/>
  <c r="B149" i="27"/>
  <c r="C31" i="27"/>
  <c r="C38" i="27"/>
  <c r="C40" i="27"/>
  <c r="C32" i="27"/>
  <c r="H14" i="38"/>
  <c r="H12" i="38"/>
  <c r="I8" i="38" s="1"/>
  <c r="C37" i="27"/>
  <c r="C43" i="27"/>
  <c r="C30" i="27"/>
  <c r="C33" i="27"/>
  <c r="E6" i="33"/>
  <c r="B12" i="33" s="1"/>
  <c r="B14" i="33" s="1"/>
  <c r="B7" i="33"/>
  <c r="E18" i="33"/>
  <c r="H14" i="27"/>
  <c r="I10" i="27" s="1"/>
  <c r="H16" i="27"/>
  <c r="B10" i="27" s="1"/>
  <c r="I2" i="38"/>
  <c r="I7" i="38"/>
  <c r="I10" i="38" s="1"/>
  <c r="C44" i="27"/>
  <c r="C46" i="27"/>
  <c r="C48" i="27"/>
  <c r="I2" i="27"/>
  <c r="I9" i="27"/>
  <c r="I12" i="27" s="1"/>
  <c r="B12" i="27" s="1"/>
  <c r="K59" i="40" l="1"/>
  <c r="K57" i="40"/>
  <c r="K55" i="40"/>
  <c r="K53" i="40"/>
  <c r="K63" i="40" s="1"/>
  <c r="B11" i="27"/>
  <c r="B16" i="33"/>
  <c r="B14" i="27"/>
  <c r="A59" i="38"/>
  <c r="A26" i="38"/>
  <c r="A25" i="38"/>
  <c r="A14" i="38"/>
  <c r="B13" i="27"/>
  <c r="E14" i="27"/>
  <c r="B9" i="27"/>
  <c r="V36" i="42"/>
  <c r="V32" i="42"/>
  <c r="AE36" i="42"/>
  <c r="AE32" i="42"/>
  <c r="AB32" i="42"/>
  <c r="AB36" i="42"/>
  <c r="Y36" i="42"/>
  <c r="Y32" i="42"/>
  <c r="M39" i="42"/>
  <c r="P39" i="42"/>
  <c r="B23" i="45"/>
  <c r="D24" i="42"/>
  <c r="D16" i="42"/>
  <c r="C41" i="42"/>
  <c r="J39" i="42"/>
  <c r="J26" i="42"/>
  <c r="K26" i="42"/>
  <c r="D26" i="42"/>
  <c r="C39" i="42"/>
  <c r="C45" i="42"/>
  <c r="O38" i="40"/>
  <c r="G39" i="42"/>
  <c r="R32" i="40"/>
  <c r="R33" i="40" s="1"/>
  <c r="T2" i="47"/>
  <c r="AG2" i="47"/>
  <c r="AG2" i="40"/>
  <c r="V2" i="47"/>
  <c r="P30" i="40"/>
  <c r="B30" i="40"/>
  <c r="B29" i="40"/>
  <c r="BW2" i="47"/>
  <c r="P43" i="40"/>
  <c r="O43" i="40" s="1"/>
  <c r="U44" i="40" s="1"/>
  <c r="K61" i="40"/>
  <c r="P35" i="40"/>
  <c r="O35" i="40" s="1"/>
  <c r="O90" i="40"/>
  <c r="O91" i="40" s="1"/>
  <c r="E44" i="40" s="1"/>
  <c r="AB3" i="40"/>
  <c r="AB11" i="40"/>
  <c r="AB4" i="40"/>
  <c r="AB10" i="40"/>
  <c r="AB7" i="40"/>
  <c r="AB6" i="40"/>
  <c r="AB5" i="40"/>
  <c r="H2" i="47" l="1"/>
  <c r="B2" i="45"/>
  <c r="C32" i="42" s="1"/>
  <c r="C33" i="42" s="1"/>
  <c r="C36" i="42" s="1"/>
  <c r="C38" i="42" s="1"/>
  <c r="A2" i="45"/>
  <c r="J32" i="42"/>
  <c r="J33" i="42" s="1"/>
  <c r="J36" i="42" s="1"/>
  <c r="J38" i="42" s="1"/>
  <c r="M32" i="42"/>
  <c r="M33" i="42" s="1"/>
  <c r="M36" i="42" s="1"/>
  <c r="M38" i="42" s="1"/>
  <c r="P32" i="42"/>
  <c r="P35" i="42" s="1"/>
  <c r="G32" i="42"/>
  <c r="G33" i="42" s="1"/>
  <c r="G36" i="42" s="1"/>
  <c r="G38" i="42" s="1"/>
  <c r="J35" i="42"/>
  <c r="M35" i="42"/>
  <c r="C26" i="42"/>
  <c r="H26" i="42"/>
  <c r="G26" i="42"/>
  <c r="O44" i="40"/>
  <c r="I64" i="40"/>
  <c r="I66" i="40" s="1"/>
  <c r="I68" i="40" s="1"/>
  <c r="E71" i="40" s="1"/>
  <c r="AJ2" i="47"/>
  <c r="BY2" i="47"/>
  <c r="BZ2" i="47"/>
  <c r="K74" i="40"/>
  <c r="K38" i="40"/>
  <c r="O48" i="40" s="1"/>
  <c r="K32" i="40"/>
  <c r="E38" i="40" s="1"/>
  <c r="K103" i="40"/>
  <c r="U30" i="40" l="1"/>
  <c r="U31" i="40" s="1"/>
  <c r="U32" i="40" s="1"/>
  <c r="G137" i="40" s="1"/>
  <c r="D32" i="42"/>
  <c r="C35" i="42"/>
  <c r="D31" i="42"/>
  <c r="D18" i="42"/>
  <c r="C31" i="42"/>
  <c r="P33" i="42"/>
  <c r="P36" i="42" s="1"/>
  <c r="P38" i="42" s="1"/>
  <c r="G35" i="42"/>
  <c r="R5" i="40"/>
  <c r="H121" i="40" s="1"/>
  <c r="K125" i="40"/>
  <c r="K64" i="40"/>
  <c r="K66" i="40" s="1"/>
  <c r="K68" i="40" s="1"/>
  <c r="K71" i="40" s="1"/>
  <c r="K73" i="40" s="1"/>
  <c r="G144" i="40"/>
  <c r="I2" i="47"/>
  <c r="E136" i="40"/>
  <c r="E137" i="40" s="1"/>
  <c r="C40" i="40"/>
  <c r="C43" i="42" l="1"/>
  <c r="I105" i="40" s="1"/>
  <c r="K105" i="40" s="1"/>
  <c r="J140" i="40"/>
  <c r="K75" i="40"/>
  <c r="AR2" i="47"/>
  <c r="J142" i="40"/>
  <c r="E144" i="40"/>
  <c r="N218" i="40" s="1"/>
  <c r="AK2" i="47"/>
  <c r="N212" i="40"/>
  <c r="K76" i="40"/>
  <c r="J144" i="40"/>
  <c r="Z2" i="47"/>
  <c r="K107" i="40" l="1"/>
  <c r="K111" i="40" s="1"/>
  <c r="G140" i="40" s="1"/>
  <c r="K140" i="40"/>
  <c r="E140" i="40"/>
  <c r="AH2" i="47"/>
  <c r="AI2" i="47"/>
  <c r="N204" i="40" l="1"/>
  <c r="AT2" i="47"/>
  <c r="AS2" i="47"/>
  <c r="K119" i="40" l="1"/>
  <c r="E135" i="40" s="1"/>
  <c r="I143" i="40" s="1"/>
  <c r="N225" i="40"/>
  <c r="K123" i="40"/>
  <c r="G142" i="40"/>
  <c r="N216" i="40" s="1"/>
  <c r="K121" i="40"/>
  <c r="AX2" i="47"/>
  <c r="AW2" i="47"/>
  <c r="N214" i="40" l="1"/>
  <c r="I140" i="40"/>
  <c r="K128" i="40"/>
  <c r="I2" i="35" l="1"/>
  <c r="I146" i="40"/>
  <c r="E149" i="40"/>
  <c r="A148" i="40"/>
  <c r="B146" i="40"/>
  <c r="J146" i="40"/>
  <c r="G149" i="40"/>
  <c r="A152" i="40" s="1"/>
  <c r="I7" i="35"/>
  <c r="I10" i="35" s="1"/>
  <c r="A25" i="35" s="1"/>
  <c r="AV2" i="47"/>
  <c r="E148" i="40"/>
  <c r="AU2" i="47" s="1"/>
  <c r="AL2" i="47"/>
  <c r="AY2" i="47"/>
  <c r="AM2" i="47"/>
  <c r="A14" i="35" l="1"/>
  <c r="S44" i="40"/>
  <c r="O57" i="40"/>
  <c r="G148" i="40" s="1"/>
  <c r="A151" i="40" s="1"/>
  <c r="O49" i="40"/>
  <c r="O51" i="40" s="1"/>
  <c r="O52" i="40"/>
  <c r="A26" i="35"/>
  <c r="E150" i="40" l="1"/>
  <c r="G151" i="40"/>
  <c r="G150" i="40"/>
  <c r="O56" i="40" s="1"/>
  <c r="S46" i="40"/>
  <c r="I148" i="40" s="1"/>
  <c r="I149" i="40" s="1"/>
  <c r="A150" i="40"/>
  <c r="A154" i="40"/>
  <c r="A15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Whittle, Christopher</author>
  </authors>
  <commentList>
    <comment ref="G36" authorId="0" shapeId="0" xr:uid="{00000000-0006-0000-0400-000001000000}">
      <text>
        <r>
          <rPr>
            <b/>
            <sz val="14"/>
            <color indexed="81"/>
            <rFont val="Tahoma"/>
            <family val="2"/>
          </rPr>
          <t>i.e. Straight Switch, No additional funds</t>
        </r>
      </text>
    </comment>
  </commentList>
</comments>
</file>

<file path=xl/sharedStrings.xml><?xml version="1.0" encoding="utf-8"?>
<sst xmlns="http://schemas.openxmlformats.org/spreadsheetml/2006/main" count="1005" uniqueCount="631">
  <si>
    <t>Actual Gross</t>
  </si>
  <si>
    <t>Basic Income - 1</t>
  </si>
  <si>
    <t>Basic Income - 2</t>
  </si>
  <si>
    <t>Overtime - 1</t>
  </si>
  <si>
    <t>Overtime - 2</t>
  </si>
  <si>
    <t>Bonus - 1</t>
  </si>
  <si>
    <t>Bonus - 2</t>
  </si>
  <si>
    <t>Commission - 1</t>
  </si>
  <si>
    <t>Commission - 2</t>
  </si>
  <si>
    <t>Other Income - 1</t>
  </si>
  <si>
    <t>Other Income - 2</t>
  </si>
  <si>
    <t>+</t>
  </si>
  <si>
    <t>--------------------</t>
  </si>
  <si>
    <t>=</t>
  </si>
  <si>
    <t>Allowable Income Percentage</t>
  </si>
  <si>
    <t>(see reverse)</t>
  </si>
  <si>
    <t>x</t>
  </si>
  <si>
    <t>Net Annual Income</t>
  </si>
  <si>
    <t>Divided by 12</t>
  </si>
  <si>
    <t>Applicable NETS ratio</t>
  </si>
  <si>
    <t>Applicant 1</t>
  </si>
  <si>
    <t>Single</t>
  </si>
  <si>
    <t>Married X 1 Income</t>
  </si>
  <si>
    <t>Income</t>
  </si>
  <si>
    <t>Income Rounded to Nearest €5k for Tax Calculation</t>
  </si>
  <si>
    <t>years</t>
  </si>
  <si>
    <t>Total</t>
  </si>
  <si>
    <t>Value</t>
  </si>
  <si>
    <t>Savings</t>
  </si>
  <si>
    <t>Total Net Monthly Income</t>
  </si>
  <si>
    <t xml:space="preserve">Loan Term as per policy </t>
  </si>
  <si>
    <t>Individual Net Monthly Income</t>
  </si>
  <si>
    <t>NDI</t>
  </si>
  <si>
    <t xml:space="preserve">Revolving Credit - Overdrafts &amp; Visa </t>
  </si>
  <si>
    <t>Property Tax</t>
  </si>
  <si>
    <t>Electricity</t>
  </si>
  <si>
    <t>Gas / OiI</t>
  </si>
  <si>
    <t>Phone (Landline &amp; Internet)</t>
  </si>
  <si>
    <t xml:space="preserve">TV / Cable </t>
  </si>
  <si>
    <t>Mobile Phone</t>
  </si>
  <si>
    <t>Refuse Charges</t>
  </si>
  <si>
    <t>TV Licence</t>
  </si>
  <si>
    <t>Utilities</t>
  </si>
  <si>
    <t>Household</t>
  </si>
  <si>
    <t>Childcare</t>
  </si>
  <si>
    <t>Elderly Care</t>
  </si>
  <si>
    <t>Food/Housekeeping/Personal Care</t>
  </si>
  <si>
    <t>Clothing &amp; Footwear</t>
  </si>
  <si>
    <t>Household Repairs / Maintenance</t>
  </si>
  <si>
    <t>Transport Costs</t>
  </si>
  <si>
    <t>Petrol</t>
  </si>
  <si>
    <t>Motor Insurance / TAX / NCT</t>
  </si>
  <si>
    <t>Rail/Bus/Taxi costs</t>
  </si>
  <si>
    <t>Car Maintenance / Repairs</t>
  </si>
  <si>
    <t>Car Parking &amp; Tolls</t>
  </si>
  <si>
    <t>Mortgage Protection</t>
  </si>
  <si>
    <t>Payment Protection</t>
  </si>
  <si>
    <t>House Insurance</t>
  </si>
  <si>
    <t>Education</t>
  </si>
  <si>
    <t>Books</t>
  </si>
  <si>
    <t>School / College Fees</t>
  </si>
  <si>
    <t>Extra Curricular activities</t>
  </si>
  <si>
    <t xml:space="preserve">Other </t>
  </si>
  <si>
    <t>Health Insurance</t>
  </si>
  <si>
    <t>Social</t>
  </si>
  <si>
    <t>Club Membership</t>
  </si>
  <si>
    <t>Other</t>
  </si>
  <si>
    <t>Pension Contribution</t>
  </si>
  <si>
    <t>Property Management Fee</t>
  </si>
  <si>
    <t>Maintenance for child / spouse</t>
  </si>
  <si>
    <t>Insurance, Pension / Savings</t>
  </si>
  <si>
    <t>Rent</t>
  </si>
  <si>
    <t>Medical (GP / Prescriptions etc.)</t>
  </si>
  <si>
    <t>Water Charges</t>
  </si>
  <si>
    <t>Regular Monthly Savings</t>
  </si>
  <si>
    <t>Entertainment / Recreation</t>
  </si>
  <si>
    <t>Total Debt Servicing Costs</t>
  </si>
  <si>
    <t>Maximum Loan Using Nets</t>
  </si>
  <si>
    <t>Maximum Loan Using NDI</t>
  </si>
  <si>
    <t>Maximum Loan Using Income Multiples</t>
  </si>
  <si>
    <t>Mortgage Required</t>
  </si>
  <si>
    <t>Term Required (years)</t>
  </si>
  <si>
    <t>Property Purchase Price / Value</t>
  </si>
  <si>
    <t>What Metric (Nets / NDI / Income Multiple) has determined Maximum Loan Amount?</t>
  </si>
  <si>
    <t>Application Type</t>
  </si>
  <si>
    <t>Joint</t>
  </si>
  <si>
    <t>Jvs S</t>
  </si>
  <si>
    <t>Tax</t>
  </si>
  <si>
    <t>Pick from list</t>
  </si>
  <si>
    <t xml:space="preserve"> </t>
  </si>
  <si>
    <t>Maximum Loan Using SFS</t>
  </si>
  <si>
    <t>Pre-tax Annual Income (per policy)</t>
  </si>
  <si>
    <t>N/a</t>
  </si>
  <si>
    <t>2</t>
  </si>
  <si>
    <t>3</t>
  </si>
  <si>
    <t>Current Home Loan Balance (enter total of combined loans)</t>
  </si>
  <si>
    <t>Current Interest Rate being Charged</t>
  </si>
  <si>
    <t>Monthly Mortgage Repayments</t>
  </si>
  <si>
    <t>Married One Income</t>
  </si>
  <si>
    <t>1</t>
  </si>
  <si>
    <t>No</t>
  </si>
  <si>
    <t>Yes</t>
  </si>
  <si>
    <t>Proposed LTV</t>
  </si>
  <si>
    <t>Short Term Loans / Spousal Maintenance payable</t>
  </si>
  <si>
    <t>Proposed (Stressed) Mortgage Repayment</t>
  </si>
  <si>
    <t>Proposed (Non-Stressed) Mortgage Repayment</t>
  </si>
  <si>
    <t>Note: Income levels of €0 - €200k are shown above for illustrative purposes. Nets / RIP sheets are designed to automatically apply appropriate tax rates to higher incomes in excess of €250,000</t>
  </si>
  <si>
    <t>Mortgage</t>
  </si>
  <si>
    <t>NOTES:</t>
  </si>
  <si>
    <t>Test 1: NETS</t>
  </si>
  <si>
    <t>Test 2: NDI</t>
  </si>
  <si>
    <t>- If Loan is outside Policy then consider reducing loan amount</t>
  </si>
  <si>
    <t>STANDARD POLICY</t>
  </si>
  <si>
    <t>PROPOSED LOAN WITHIN POLICY?</t>
  </si>
  <si>
    <t>Maximum Amount avaliable for all loan repayments (Nets)</t>
  </si>
  <si>
    <t>If Equity Release - enter existing loan balance here:</t>
  </si>
  <si>
    <t>Test</t>
  </si>
  <si>
    <t>Slot for new test #4</t>
  </si>
  <si>
    <t>Slot for new test #5</t>
  </si>
  <si>
    <t>Generate Letter</t>
  </si>
  <si>
    <t>Yours sincerely,</t>
  </si>
  <si>
    <t>&lt;Branch manager name&gt;, Branch Manager</t>
  </si>
  <si>
    <t>&lt;Branch name&gt;</t>
  </si>
  <si>
    <t xml:space="preserve"> - Are you happy for me to input your details and store them on our computer system?</t>
  </si>
  <si>
    <t xml:space="preserve"> - Can permanent tsb contact you in future in relation to this mortgage enquiry?</t>
  </si>
  <si>
    <t xml:space="preserve"> - Have been in continuous employment for at least 6 months?</t>
  </si>
  <si>
    <t xml:space="preserve"> - Employment is permanent in nature?</t>
  </si>
  <si>
    <t xml:space="preserve"> - Is a current / previous bankrupt or is currently subject to bankruptcy procedures?</t>
  </si>
  <si>
    <t xml:space="preserve"> - Has been subject to a court order (judgment) for the recovery of debts?</t>
  </si>
  <si>
    <t xml:space="preserve"> - Good pay on all previous credit facilities - mortgages / personal loans / overdraft &amp; visa?</t>
  </si>
  <si>
    <t>Allowable per Policy</t>
  </si>
  <si>
    <t xml:space="preserve"> - How many people are in your household?</t>
  </si>
  <si>
    <t>Max Nets Per Policy</t>
  </si>
  <si>
    <t>Actual Nets</t>
  </si>
  <si>
    <t>NETS Test</t>
  </si>
  <si>
    <t>Married X 2 Incomes</t>
  </si>
  <si>
    <t xml:space="preserve"> - Are all  Mortgage Applicants currently at least 18 years of age and will be no more than age 70 when loan matures?</t>
  </si>
  <si>
    <t xml:space="preserve"> - How many children (under 18 years of age) are in your household?</t>
  </si>
  <si>
    <t>Within Policy?</t>
  </si>
  <si>
    <t>Pick from list of available products (based on LTV)</t>
  </si>
  <si>
    <t>1. Customer Details</t>
  </si>
  <si>
    <t>Customer Names</t>
  </si>
  <si>
    <t>Address Details Complete?</t>
  </si>
  <si>
    <t>1. Enter details of lender &amp; purpose. 
2. For Overdrafts enter the highest balance on each facility over previous 6 months.
3. For Visa enter the credit limit</t>
  </si>
  <si>
    <r>
      <t xml:space="preserve">2. Customer Factfind </t>
    </r>
    <r>
      <rPr>
        <b/>
        <sz val="11"/>
        <color indexed="9"/>
        <rFont val="Calibri"/>
        <family val="2"/>
      </rPr>
      <t>(Questions apply to all parties to the loan)</t>
    </r>
  </si>
  <si>
    <r>
      <t>Applicant 2</t>
    </r>
    <r>
      <rPr>
        <b/>
        <sz val="10"/>
        <color indexed="10"/>
        <rFont val="Calibri"/>
        <family val="2"/>
      </rPr>
      <t xml:space="preserve"> </t>
    </r>
  </si>
  <si>
    <r>
      <t>Test 3: Income Multiple</t>
    </r>
    <r>
      <rPr>
        <b/>
        <i/>
        <sz val="12"/>
        <rFont val="Calibri"/>
        <family val="2"/>
      </rPr>
      <t xml:space="preserve"> </t>
    </r>
  </si>
  <si>
    <r>
      <t>Income Tax Status</t>
    </r>
    <r>
      <rPr>
        <i/>
        <sz val="14"/>
        <rFont val="Calibri"/>
        <family val="2"/>
      </rPr>
      <t xml:space="preserve"> </t>
    </r>
  </si>
  <si>
    <r>
      <t xml:space="preserve">Total Combined </t>
    </r>
    <r>
      <rPr>
        <b/>
        <sz val="14"/>
        <color indexed="10"/>
        <rFont val="Calibri"/>
        <family val="2"/>
      </rPr>
      <t>STRESSED</t>
    </r>
    <r>
      <rPr>
        <b/>
        <sz val="14"/>
        <rFont val="Calibri"/>
        <family val="2"/>
      </rPr>
      <t xml:space="preserve"> Monthly Repayment on existing mortgage debt</t>
    </r>
  </si>
  <si>
    <r>
      <t xml:space="preserve">BTL Surplus / </t>
    </r>
    <r>
      <rPr>
        <b/>
        <sz val="14"/>
        <color indexed="10"/>
        <rFont val="Calibri"/>
        <family val="2"/>
      </rPr>
      <t>(Deficit)</t>
    </r>
    <r>
      <rPr>
        <b/>
        <sz val="14"/>
        <rFont val="Calibri"/>
        <family val="2"/>
      </rPr>
      <t xml:space="preserve"> </t>
    </r>
    <r>
      <rPr>
        <b/>
        <i/>
        <sz val="14"/>
        <rFont val="Calibri"/>
        <family val="2"/>
      </rPr>
      <t>- please complete attached BTL sheet</t>
    </r>
  </si>
  <si>
    <t>Mrs.</t>
  </si>
  <si>
    <t>Ms.</t>
  </si>
  <si>
    <t>Pick a Title</t>
  </si>
  <si>
    <t>Mr.</t>
  </si>
  <si>
    <t xml:space="preserve">Sharepoint AIP Return </t>
  </si>
  <si>
    <t>Getting a ‘Mortgage Approval in Principle’ before you start looking for a house is always a good idea. It will give you a rough idea of</t>
  </si>
  <si>
    <t>how much you have to spend.</t>
  </si>
  <si>
    <t>What does ‘Mortgage Approval in Principle’ mean?</t>
  </si>
  <si>
    <t>‘Mortgage Approval in Principle’ is an understanding between you and us outlining roughly how much we could lend</t>
  </si>
  <si>
    <t>to you. We base that calculation on the information you provide and if you do decide to complete a full application, we’ll check</t>
  </si>
  <si>
    <t>to make sure that all the details are accurate.</t>
  </si>
  <si>
    <t>• This is an approval in principle only so it is not legally binding. We cannot guarantee that we will approve a full</t>
  </si>
  <si>
    <t>application for a mortgage for this or any amount yet.</t>
  </si>
  <si>
    <t>• If you decide to proceed with a full mortgage application it will be subject to our lending criteria, terms and conditions.</t>
  </si>
  <si>
    <t>• The amount and term quoted above may not be a suitable option for your needs. You should also be aware that it costs</t>
  </si>
  <si>
    <t>more to borrow over a longer term than over a shorter term. This is because you will pay more in interest over the longer</t>
  </si>
  <si>
    <t>term than the shorter term. However, we will be sure to outline all your options for your circumstances when you</t>
  </si>
  <si>
    <t>complete an application with us.</t>
  </si>
  <si>
    <t>Okay. What happens next?</t>
  </si>
  <si>
    <t>• You continue the search for your new home and we will try to help you in any way that we can.</t>
  </si>
  <si>
    <t>• When you are ready to make a full application, simply get in touch and we will set up an appointment to help you</t>
  </si>
  <si>
    <t>complete your application.</t>
  </si>
  <si>
    <t>• Make sure to check the enclosed ‘Approval in Principle Pack’, which outlines everything you need to know about the</t>
  </si>
  <si>
    <t xml:space="preserve">application process and the attached Mortgage Application checklist which describes what you will need to bring along </t>
  </si>
  <si>
    <t>when you next meet us.</t>
  </si>
  <si>
    <t>We look forward to hearing from you soon!</t>
  </si>
  <si>
    <t>Mortgage Application Checklist</t>
  </si>
  <si>
    <t xml:space="preserve"> To help complete your full mortgage application process as quickly as possible here is your </t>
  </si>
  <si>
    <t>checklist of all of the items you will need to get the ball rolling:</t>
  </si>
  <si>
    <t>If you are an employee / PAYE</t>
  </si>
  <si>
    <r>
      <t>¨</t>
    </r>
    <r>
      <rPr>
        <sz val="7"/>
        <color indexed="63"/>
        <rFont val="Times New Roman"/>
        <family val="1"/>
      </rPr>
      <t xml:space="preserve">  </t>
    </r>
    <r>
      <rPr>
        <sz val="9"/>
        <color indexed="63"/>
        <rFont val="Arial"/>
        <family val="2"/>
      </rPr>
      <t>A salary certificate (enclosed for your employer to fill in)</t>
    </r>
  </si>
  <si>
    <r>
      <t>¨</t>
    </r>
    <r>
      <rPr>
        <sz val="7"/>
        <color indexed="63"/>
        <rFont val="Times New Roman"/>
        <family val="1"/>
      </rPr>
      <t xml:space="preserve">  </t>
    </r>
    <r>
      <rPr>
        <sz val="9"/>
        <color indexed="63"/>
        <rFont val="Arial"/>
        <family val="2"/>
      </rPr>
      <t>Your personal bank account statements for the past six months</t>
    </r>
  </si>
  <si>
    <t>To meet Regulatory requirements, we also need you to provide proof of name and proof of your address.</t>
  </si>
  <si>
    <t>Photo Identification</t>
  </si>
  <si>
    <t>We can accept an original of the following documents:</t>
  </si>
  <si>
    <r>
      <t>¨</t>
    </r>
    <r>
      <rPr>
        <sz val="7"/>
        <color indexed="63"/>
        <rFont val="Times New Roman"/>
        <family val="1"/>
      </rPr>
      <t xml:space="preserve">  </t>
    </r>
    <r>
      <rPr>
        <sz val="9"/>
        <color indexed="63"/>
        <rFont val="Arial"/>
        <family val="2"/>
      </rPr>
      <t>Your current national passport or</t>
    </r>
  </si>
  <si>
    <r>
      <t>¨</t>
    </r>
    <r>
      <rPr>
        <sz val="7"/>
        <color indexed="63"/>
        <rFont val="Times New Roman"/>
        <family val="1"/>
      </rPr>
      <t xml:space="preserve">  </t>
    </r>
    <r>
      <rPr>
        <sz val="9"/>
        <color indexed="63"/>
        <rFont val="Arial"/>
        <family val="2"/>
      </rPr>
      <t>Your current valid Irish, UK or European drivers licence (with photo) or</t>
    </r>
  </si>
  <si>
    <r>
      <t>¨</t>
    </r>
    <r>
      <rPr>
        <sz val="7"/>
        <rFont val="Times New Roman"/>
        <family val="1"/>
      </rPr>
      <t xml:space="preserve">  </t>
    </r>
    <r>
      <rPr>
        <sz val="9"/>
        <color indexed="63"/>
        <rFont val="Arial"/>
        <family val="2"/>
      </rPr>
      <t>Your EU National Identity Card (EU country)</t>
    </r>
  </si>
  <si>
    <t>Proof of address</t>
  </si>
  <si>
    <t>You can use any of the following:</t>
  </si>
  <si>
    <r>
      <t>¨</t>
    </r>
    <r>
      <rPr>
        <sz val="7"/>
        <color indexed="63"/>
        <rFont val="Times New Roman"/>
        <family val="1"/>
      </rPr>
      <t xml:space="preserve">  </t>
    </r>
    <r>
      <rPr>
        <sz val="9"/>
        <color indexed="63"/>
        <rFont val="Arial"/>
        <family val="2"/>
      </rPr>
      <t>A utility bill (dated within the last 6 months)</t>
    </r>
  </si>
  <si>
    <r>
      <t>¨</t>
    </r>
    <r>
      <rPr>
        <sz val="7"/>
        <color indexed="63"/>
        <rFont val="Times New Roman"/>
        <family val="1"/>
      </rPr>
      <t xml:space="preserve">  </t>
    </r>
    <r>
      <rPr>
        <sz val="9"/>
        <color indexed="63"/>
        <rFont val="Arial"/>
        <family val="2"/>
      </rPr>
      <t>A bank or building society statement issued in the last 3 months</t>
    </r>
  </si>
  <si>
    <r>
      <t>¨</t>
    </r>
    <r>
      <rPr>
        <sz val="7"/>
        <color indexed="63"/>
        <rFont val="Times New Roman"/>
        <family val="1"/>
      </rPr>
      <t xml:space="preserve">  </t>
    </r>
    <r>
      <rPr>
        <sz val="9"/>
        <color indexed="63"/>
        <rFont val="Arial"/>
        <family val="2"/>
      </rPr>
      <t>Your Determination of Tax Credits for the current year</t>
    </r>
  </si>
  <si>
    <r>
      <t>¨</t>
    </r>
    <r>
      <rPr>
        <sz val="7"/>
        <color indexed="63"/>
        <rFont val="Times New Roman"/>
        <family val="1"/>
      </rPr>
      <t xml:space="preserve">  </t>
    </r>
    <r>
      <rPr>
        <sz val="9"/>
        <color indexed="63"/>
        <rFont val="Arial"/>
        <family val="2"/>
      </rPr>
      <t>Your original household/health or motor insurance documents (less than 12 months old)</t>
    </r>
  </si>
  <si>
    <r>
      <t>¨</t>
    </r>
    <r>
      <rPr>
        <sz val="7"/>
        <color indexed="63"/>
        <rFont val="Times New Roman"/>
        <family val="1"/>
      </rPr>
      <t xml:space="preserve">  </t>
    </r>
    <r>
      <rPr>
        <sz val="9"/>
        <color indexed="63"/>
        <rFont val="Arial"/>
        <family val="2"/>
      </rPr>
      <t>Make sure the name and address on your proof of address matches the details on your new account.</t>
    </r>
  </si>
  <si>
    <t>just ask us in branch and we will be happy to help.</t>
  </si>
  <si>
    <t>Dr.</t>
  </si>
  <si>
    <t>(Do not include loans being redeemed from the new loan)</t>
  </si>
  <si>
    <r>
      <t>¨</t>
    </r>
    <r>
      <rPr>
        <sz val="7"/>
        <color indexed="63"/>
        <rFont val="Times New Roman"/>
        <family val="1"/>
      </rPr>
      <t xml:space="preserve">  </t>
    </r>
    <r>
      <rPr>
        <sz val="9"/>
        <color indexed="63"/>
        <rFont val="Arial"/>
        <family val="2"/>
      </rPr>
      <t>Your P60 AND two of your last three payslips</t>
    </r>
  </si>
  <si>
    <r>
      <t>¨</t>
    </r>
    <r>
      <rPr>
        <sz val="7"/>
        <color indexed="63"/>
        <rFont val="Times New Roman"/>
        <family val="1"/>
      </rPr>
      <t xml:space="preserve">  </t>
    </r>
    <r>
      <rPr>
        <sz val="9"/>
        <color indexed="63"/>
        <rFont val="Arial"/>
        <family val="2"/>
      </rPr>
      <t>Your most recent Audited / Certified Accounts (3 years)</t>
    </r>
  </si>
  <si>
    <r>
      <t>¨</t>
    </r>
    <r>
      <rPr>
        <sz val="7"/>
        <color indexed="63"/>
        <rFont val="Times New Roman"/>
        <family val="1"/>
      </rPr>
      <t xml:space="preserve">  </t>
    </r>
    <r>
      <rPr>
        <sz val="9"/>
        <color indexed="63"/>
        <rFont val="Arial"/>
        <family val="2"/>
      </rPr>
      <t>Confirmation from your Accountant:
    (i) that your tax affairs are up to date; 
    (ii) of your current year earnings and; 
    (iii) that no significant changes have occurred in the business since the date of the last accounts.</t>
    </r>
  </si>
  <si>
    <t>If you are self-employed:</t>
  </si>
  <si>
    <t>Salary Certificate</t>
  </si>
  <si>
    <r>
      <t xml:space="preserve">Note: </t>
    </r>
    <r>
      <rPr>
        <sz val="9"/>
        <color indexed="8"/>
        <rFont val="Arial"/>
        <family val="2"/>
      </rPr>
      <t>As always,</t>
    </r>
    <r>
      <rPr>
        <b/>
        <sz val="9"/>
        <color indexed="8"/>
        <rFont val="Arial"/>
        <family val="2"/>
      </rPr>
      <t xml:space="preserve">  </t>
    </r>
    <r>
      <rPr>
        <sz val="9"/>
        <color indexed="8"/>
        <rFont val="Arial"/>
        <family val="2"/>
      </rPr>
      <t xml:space="preserve">if you have any questions on this list or you can't provide any of these pieces of identification, </t>
    </r>
  </si>
  <si>
    <r>
      <t>¨</t>
    </r>
    <r>
      <rPr>
        <sz val="7"/>
        <color indexed="63"/>
        <rFont val="Times New Roman"/>
        <family val="1"/>
      </rPr>
      <t xml:space="preserve">  </t>
    </r>
    <r>
      <rPr>
        <sz val="9"/>
        <color indexed="63"/>
        <rFont val="Arial"/>
        <family val="2"/>
      </rPr>
      <t>Six month's recent personal AND 6 months business bank statements</t>
    </r>
  </si>
  <si>
    <t>Note: Before you proceed to complete the details of the AIP letter. Please record the AIP and print the salary certificate from the links.</t>
  </si>
  <si>
    <t>Hi</t>
  </si>
  <si>
    <r>
      <t>Thanks for talking to permanent tsb</t>
    </r>
    <r>
      <rPr>
        <b/>
        <sz val="8"/>
        <rFont val="Arial"/>
        <family val="2"/>
      </rPr>
      <t xml:space="preserve"> </t>
    </r>
    <r>
      <rPr>
        <sz val="8"/>
        <rFont val="Arial"/>
        <family val="2"/>
      </rPr>
      <t>about your mortgage application earlier today. From our conversation,</t>
    </r>
  </si>
  <si>
    <t>2. Data Protection Questions</t>
  </si>
  <si>
    <t>LTV</t>
  </si>
  <si>
    <t>Purchase Price</t>
  </si>
  <si>
    <t>Interest Rate</t>
  </si>
  <si>
    <t>Applicant 2</t>
  </si>
  <si>
    <t>Current Acc</t>
  </si>
  <si>
    <t>Deposit acc</t>
  </si>
  <si>
    <t xml:space="preserve">Surplus/Deficit </t>
  </si>
  <si>
    <t>Shares</t>
  </si>
  <si>
    <t>Source of Own Funds</t>
  </si>
  <si>
    <t>Total funds Available</t>
  </si>
  <si>
    <t>Other funds (savings etc)</t>
  </si>
  <si>
    <t>New ptsb mortgage</t>
  </si>
  <si>
    <t xml:space="preserve">SIGNED </t>
  </si>
  <si>
    <t>Funded By</t>
  </si>
  <si>
    <t>Total Cost</t>
  </si>
  <si>
    <t>Equity available</t>
  </si>
  <si>
    <t>Renovations</t>
  </si>
  <si>
    <t>Less Solicitors/Auctioneers fees</t>
  </si>
  <si>
    <t>Legal Fees</t>
  </si>
  <si>
    <t>Less existing mortgage</t>
  </si>
  <si>
    <t>Stamp Duty</t>
  </si>
  <si>
    <t xml:space="preserve">Sale Price of existing property </t>
  </si>
  <si>
    <t>Funds Flow Statement (If Applicable)</t>
  </si>
  <si>
    <t>Equity from sale of existing property (if applicable)</t>
  </si>
  <si>
    <t>7. Additional Notes</t>
  </si>
  <si>
    <t>and the summary details that you have provided, we have calculated that you may qualify to borrow the following amount:</t>
  </si>
  <si>
    <t>________________________</t>
  </si>
  <si>
    <t>permanent tsb</t>
  </si>
  <si>
    <t>If you have any questions or would like to set up an appointment please contact us.</t>
  </si>
  <si>
    <t>Required Amount</t>
  </si>
  <si>
    <t>Child Expenditure(Age)</t>
  </si>
  <si>
    <t>Default Childcare Table</t>
  </si>
  <si>
    <t>Buffer</t>
  </si>
  <si>
    <t>Net Income minus expenditure</t>
  </si>
  <si>
    <t>Indicator Rule</t>
  </si>
  <si>
    <t>(MDIR)</t>
  </si>
  <si>
    <t>Cost Per 1000</t>
  </si>
  <si>
    <t/>
  </si>
  <si>
    <t>Diff MDIR and NDI</t>
  </si>
  <si>
    <t>Reduce Loan Amount by</t>
  </si>
  <si>
    <t xml:space="preserve">To meet MDIR consider reducing loan amount by </t>
  </si>
  <si>
    <t>MDIR Shortfall</t>
  </si>
  <si>
    <t xml:space="preserve">Cushion Achieved </t>
  </si>
  <si>
    <t>Percentage MDIR Achieved</t>
  </si>
  <si>
    <t>Minimum Disposable Income Requirement</t>
  </si>
  <si>
    <t>Number in Household</t>
  </si>
  <si>
    <t>Monthly Childminding Costs</t>
  </si>
  <si>
    <t>Number in Household Validation</t>
  </si>
  <si>
    <t>House</t>
  </si>
  <si>
    <t>Apartment</t>
  </si>
  <si>
    <t>Average Apartment Management Fee</t>
  </si>
  <si>
    <t>New Loan</t>
  </si>
  <si>
    <t>Repayment of New Loan</t>
  </si>
  <si>
    <t>Part A - Tracker Interest Rate</t>
  </si>
  <si>
    <t>Part B - Variable Interest Rate</t>
  </si>
  <si>
    <t xml:space="preserve">                                                                        </t>
  </si>
  <si>
    <t>•  The Household Cash flow Self Assessment Planner is also enclosed. Can you please complete this ahead of our next meeting.</t>
  </si>
  <si>
    <r>
      <t>¨</t>
    </r>
    <r>
      <rPr>
        <sz val="7"/>
        <color indexed="63"/>
        <rFont val="Times New Roman"/>
        <family val="1"/>
      </rPr>
      <t xml:space="preserve">  </t>
    </r>
    <r>
      <rPr>
        <sz val="9"/>
        <color indexed="63"/>
        <rFont val="Arial"/>
        <family val="2"/>
      </rPr>
      <t>A fully completed Household Cash flow Self Assessment Planner (enclosed).</t>
    </r>
  </si>
  <si>
    <r>
      <t>¨</t>
    </r>
    <r>
      <rPr>
        <sz val="7"/>
        <color indexed="63"/>
        <rFont val="Times New Roman"/>
        <family val="1"/>
      </rPr>
      <t xml:space="preserve">  </t>
    </r>
    <r>
      <rPr>
        <sz val="9"/>
        <color indexed="63"/>
        <rFont val="Arial"/>
        <family val="2"/>
      </rPr>
      <t>A fully completed Household Cashflow Self Assessment Planner (enclosed ).</t>
    </r>
  </si>
  <si>
    <t>A typical breakdown for costs might look like this (keeping in mind that your</t>
  </si>
  <si>
    <t>Solicitor will have arranged several of these on your behalf):</t>
  </si>
  <si>
    <t>Stamp Duty @ 1% (sale price of €250,000)      </t>
  </si>
  <si>
    <t>  - €2,500</t>
  </si>
  <si>
    <t>Registration of deed                                   </t>
  </si>
  <si>
    <t>      - €700</t>
  </si>
  <si>
    <t>Registration of mortgage                               </t>
  </si>
  <si>
    <t>      - €175</t>
  </si>
  <si>
    <t>Commissioner for Oaths                                </t>
  </si>
  <si>
    <t>     - €14</t>
  </si>
  <si>
    <t>Copy folio                                     </t>
  </si>
  <si>
    <t>                   - €40</t>
  </si>
  <si>
    <t>                      - €45</t>
  </si>
  <si>
    <t>Law searches                              </t>
  </si>
  <si>
    <t>Structural survey                          </t>
  </si>
  <si>
    <t>                   - €400</t>
  </si>
  <si>
    <t>Typical legal fee                              </t>
  </si>
  <si>
    <t>               - €1,200 to €1,500</t>
  </si>
  <si>
    <r>
      <rPr>
        <sz val="12"/>
        <color theme="1"/>
        <rFont val="Arial"/>
        <family val="2"/>
      </rPr>
      <t></t>
    </r>
    <r>
      <rPr>
        <sz val="14"/>
        <color theme="1"/>
        <rFont val="Arial"/>
        <family val="2"/>
      </rPr>
      <t xml:space="preserve"> </t>
    </r>
    <r>
      <rPr>
        <sz val="9"/>
        <color theme="1"/>
        <rFont val="Arial"/>
        <family val="2"/>
      </rPr>
      <t xml:space="preserve"> A valuation report will be required on the existing property if the valuation of the existing property is greater than 90% Loan to Value</t>
    </r>
  </si>
  <si>
    <t>Your Home Mover - Approval in Principle</t>
  </si>
  <si>
    <t>What does ‘Home Mover Approval in Principle’ mean?</t>
  </si>
  <si>
    <t>• Make sure to check the enclosed 'Home Mover - Approval in Principle Pack’, which outlines everything you need to know about the</t>
  </si>
  <si>
    <t xml:space="preserve">                                                    </t>
  </si>
  <si>
    <t>These figures are a guide only</t>
  </si>
  <si>
    <t>Important Points to Note for both products</t>
  </si>
  <si>
    <t>Taking out a mortgage of any kind is always a big decision and it’s important to carefully consider your options before making a decision. We recommend that you seek independent legal, financial and tax advice before proceeding with this mortgage.</t>
  </si>
  <si>
    <t>If you are a joint borrower with a mortgage on your home at a tracker interest rate and you wish to sell  your home  and buy  a new home separately from the other joint borrower(s), you should be aware that the  transfer of a tracker interest rate to your new mortgage ( the “Tracker Portability” facility) cannot be divided or shared between you and the other joint borrower(s) so that each borrower can avail of Tracker  Portability if purchasing a new home. If you wish to avail of Tracker Portability, a letter (in a form which we have prepared and which must be used) must be obtained from the other joint borrower(s) acknowledging that the Tracker Portability facility will not be available to them.</t>
  </si>
  <si>
    <t xml:space="preserve">The purchase of the new property and the sale of the existing property should happen on the same day, with the sale of your existing property happening first. If there is an unforeseen event which makes it impossible to close both the sale and the purchase on the same day, the Shortfall Repayment Agreement you signed as a pre-condition of receiving your Letter of Approval comes into effect. This is an agreement that shows the amount of money still owed on the existing mortgage after the sale of the existing property takes place (i.e. the Negative Equity). Until you purchase the new property, we will apply a capital payment holiday to your account so that your monthly payment is interest only. However, this shortfall amount must be repaid in full no later than six months after completion of the sale date of your existing property.  The new mortgage will be used to repay the shortfall amount. </t>
  </si>
  <si>
    <t xml:space="preserve">The Letter of Approval, which sets out how much you can borrow for purchasing your new property, is subject to change as it will be based on your financial circumstances at the time of purchase of your new property.  </t>
  </si>
  <si>
    <t>If all or part of (e.g. top-up mortgage) the mortgage on your existing property is on a fixed rate, in order to proceed you’ll need to convert it to a Variable Rate Mortgage. In this case, a Fixed Rate Mortgage Breakage Fee will have to be paid.</t>
  </si>
  <si>
    <t>It will be necessary to cancel or change your existing insurance policies following the sale of your existing property.</t>
  </si>
  <si>
    <t>You may have more than one mortgage on a tracker interest rate and these mortgages may have a different interest rate and different years to maturity (term remaining). All the mortgages outstanding that are on a tracker interest rate will be combined and will be transferred using the tracker interest rate and the term remaining of your primary mortgage.</t>
  </si>
  <si>
    <t>Before the drawdown of your new mortgage, adequate life cover will have to be in place. We recommend that you speak to your financial advisor about amending or taking out new insurance policies.</t>
  </si>
  <si>
    <t>The availability of Tracker Portability is valid for up to six months from the date of completion of the sale of the Existing Property. Where six months has elapsed from the date of completion of the sale date of the existing property, the Letter of Approval will expire immediately and the shortfall amount including any interest will have to be repaid in full at that time.</t>
  </si>
  <si>
    <t xml:space="preserve">Tracker Portability is only available once, it can only be used for the sale and purchase of one property. </t>
  </si>
  <si>
    <t>Our Home Movers brochure has further details on both products.</t>
  </si>
  <si>
    <t>Important Notices</t>
  </si>
  <si>
    <t>Variable Rate Loans</t>
  </si>
  <si>
    <t xml:space="preserve">Lending terms, conditions and other restrictions apply. Security and insurance are required. The maximum Loan-to-Value (LTV) for a second-time buyer is 90% and this is subject to other lending criteria and assessment. For customers who are in Negative Equity and want to trade up (i.e. where the total loan amount will increase), a maximum Loan-To-Value (LTV) of 125% applies. For customers who are in Negative Equity and want to trade down (i.e. where the total loan amount will decrease), a maximum Loan-to-Value (LTV) of 175% applies. </t>
  </si>
  <si>
    <t xml:space="preserve">Lending levels are subject to a total monthly repayment commitment typically not exceeding 35% of disposable income. However, this percentage will vary depending on the individual circumstances. </t>
  </si>
  <si>
    <t>Information is correct as of 21/02/2014. permanent tsb p.l.c. is regulated by the Central Bank of Ireland.</t>
  </si>
  <si>
    <t>Variable rates may be adjusted by permanent tsb from time to time. Rates correct as of 01/05/2013 but are subject to change.</t>
  </si>
  <si>
    <t>Here is an example:</t>
  </si>
  <si>
    <t xml:space="preserve">The monthly repayment on a 20 year Tracker Interest Rate Mortgage of €100,000 (Annual Percentage Rate of 1.68%) is €489.47. In the event that interest rates increase by 1% an additional €47.77 would be payable per month. </t>
  </si>
  <si>
    <t>The monthly repayment on a 20 year Variable Interest Rate Mortgage of €100,000 (Annual Percentage Rate of 4.5%) is €629.95. In the event that interest rates increase by 1% an additional €55.12 would be payable per month.</t>
  </si>
  <si>
    <t>Fixed Rate Loans</t>
  </si>
  <si>
    <t>Whenever (i) repayment of a loan in full or in part is made or (ii) with the agreement of permanent tsb, the loan is switched to a variable rate loan or other fixed rate loan, before expiry of the Fixed Rate period (hereinafter called the “Early Termination”), the applicant shall, in addition to all other sums payable as a condition of and at the time of the Early Termination, pay a sum equal to the permanent tsb’s estimate of the loss (if any) arising from the Early Termination.</t>
  </si>
  <si>
    <t>In the calculation of the said loss, permanent tsb shall endeavour to apply in so far as it is fair and practicable, the formula C=(I-S) x R x (M-T), where C is the charge to compensate for the loss (if greater than 0), I is the swap/market fixed interest rate for the term of the Fixed Rate Period at the date of its commencement, S is the swap/market interest rate for the remaining fixed period, R is the amount of the Fixed Rate loan balance paid or switched at the date of Early Termination, M is the fixed Rate Period and T is the time expired of the Fixed Rate Period at the date of Early Termination.</t>
  </si>
  <si>
    <t>Arrears</t>
  </si>
  <si>
    <t>Interest will be applied to the outstanding balance of the loan. This balance includes any element of unpaid interest and charges which will accrue interest and be capitalised to the account.</t>
  </si>
  <si>
    <t xml:space="preserve">• This is an approval in principle only so it is not legally binding. We cannot guarantee that we will approve a full application for a mortgage for this </t>
  </si>
  <si>
    <t xml:space="preserve"> or any amount yet.</t>
  </si>
  <si>
    <t>Home Mover Approval in Principle’ is an understanding between you and us outlining roughly how much we could lend to you.</t>
  </si>
  <si>
    <t>We base that calculation on the information you provide and if you do decide to complete a full application, we’ll check to make sure that</t>
  </si>
  <si>
    <t xml:space="preserve"> all the details are accurate.</t>
  </si>
  <si>
    <t>• The amount and term quoted above may not be a suitable option for your needs. You should also be aware that it costs more to borrow over a longer</t>
  </si>
  <si>
    <t xml:space="preserve"> term than over a shorter term. This is because you will pay more in interest over the longer term than a shorter term. However, we will be sure</t>
  </si>
  <si>
    <t xml:space="preserve"> to outline all your options for your circumstances when you complete an application with us.</t>
  </si>
  <si>
    <t>• When you are ready to make a full application, simply get in touch and we will set up an appointment to help you complete your application</t>
  </si>
  <si>
    <t>application process and the attached Mortgage Application checklist which describes what you will need to bring along  when you next meet us.</t>
  </si>
  <si>
    <t>you have provided, we have calculated that you may qualify to borrow the following  amount.</t>
  </si>
  <si>
    <r>
      <t>Thanks for talking to permanent tsb</t>
    </r>
    <r>
      <rPr>
        <b/>
        <sz val="9"/>
        <rFont val="Arial"/>
        <family val="2"/>
      </rPr>
      <t xml:space="preserve"> </t>
    </r>
    <r>
      <rPr>
        <sz val="9"/>
        <rFont val="Arial"/>
        <family val="2"/>
      </rPr>
      <t>about your mortgage application earlier today. From our conversation, and the summary details that</t>
    </r>
  </si>
  <si>
    <t xml:space="preserve">     Dependant's Age/s</t>
  </si>
  <si>
    <t xml:space="preserve">    Customer Age</t>
  </si>
  <si>
    <t>(Years)</t>
  </si>
  <si>
    <t>Property Type</t>
  </si>
  <si>
    <t>Item</t>
  </si>
  <si>
    <t xml:space="preserve">% MDIR </t>
  </si>
  <si>
    <t>(Alternatively consider extending term if appropriate)</t>
  </si>
  <si>
    <t>(Note reduction in LTV may affect Rate &amp; Available Amount)</t>
  </si>
  <si>
    <t>Significantly below MDIR 
If progressing -  recommendation should include comment on elements such as :  
Loan Completing Shortly
Salary Increase Imminent
Other Additional Income
Number of Dependants Reducing
Other Exceptional Element</t>
  </si>
  <si>
    <t xml:space="preserve">Below MDIR -                                                                             Recommendation should consider and comment on quality of :
Income Levels                                                                                            Any Additional Income
Savings Record
Proven Repayment Ability
LTV
Gift Element
ICB Profile
</t>
  </si>
  <si>
    <t>Are you a good payer on all previous &amp; existing credit facilities - Mortgages / Term Loans / Overdrafts &amp; Credit Cards?</t>
  </si>
  <si>
    <t>Note : If Management Fee differs significantly from the average Euro125 please note correct figure within your recommendation.</t>
  </si>
  <si>
    <t>Loan Finishing</t>
  </si>
  <si>
    <t>Other Source of PRA</t>
  </si>
  <si>
    <t>Count of Dependants</t>
  </si>
  <si>
    <t>Count of Applicants</t>
  </si>
  <si>
    <t>Total numer of Applicants and Dependants is not equal to Number in Household !</t>
  </si>
  <si>
    <t>Proven Repayment Ability (PRA)</t>
  </si>
  <si>
    <t>p</t>
  </si>
  <si>
    <r>
      <t xml:space="preserve">Maximum Loan Per Policy    </t>
    </r>
    <r>
      <rPr>
        <b/>
        <u/>
        <sz val="14"/>
        <rFont val="Calibri"/>
        <family val="2"/>
      </rPr>
      <t>(Nets Test Only)</t>
    </r>
  </si>
  <si>
    <t>Cost to Build =</t>
  </si>
  <si>
    <r>
      <rPr>
        <b/>
        <sz val="16"/>
        <color rgb="FFFF0000"/>
        <rFont val="Calibri"/>
        <family val="2"/>
      </rPr>
      <t>Self Build CostOver-run</t>
    </r>
    <r>
      <rPr>
        <sz val="14"/>
        <color indexed="9"/>
        <rFont val="Calibri"/>
        <family val="2"/>
      </rPr>
      <t xml:space="preserve"> </t>
    </r>
    <r>
      <rPr>
        <b/>
        <sz val="16"/>
        <rFont val="Calibri"/>
        <family val="2"/>
      </rPr>
      <t xml:space="preserve"> (amortising 20% over chosen term)</t>
    </r>
  </si>
  <si>
    <t>Self Build</t>
  </si>
  <si>
    <t>If your are a Self Build Customer Please ensure you provide the following</t>
  </si>
  <si>
    <t xml:space="preserve">            (ii)  Completed Certificate of Inspection</t>
  </si>
  <si>
    <t xml:space="preserve">            (i)  Building Plans plus Costings</t>
  </si>
  <si>
    <t xml:space="preserve">            (iii)  Full Planning Permission</t>
  </si>
  <si>
    <t>75% of the expected value on completion.</t>
  </si>
  <si>
    <t>The maximum allowable Loan to Value for Self Build Mortgages cannot exceed the lower of 100% of the construction costs or</t>
  </si>
  <si>
    <t>If you have any questions or would like to set up an appointment please call us on 01-8206005.</t>
  </si>
  <si>
    <t>Age</t>
  </si>
  <si>
    <t>Conversion of PTSB PDH to BTL ?</t>
  </si>
  <si>
    <t>Residential Status ?</t>
  </si>
  <si>
    <t>ROI Resident</t>
  </si>
  <si>
    <t>Proposed Property</t>
  </si>
  <si>
    <t>Existing Property 1</t>
  </si>
  <si>
    <t>Existing Property 2</t>
  </si>
  <si>
    <t>Existing Property 3</t>
  </si>
  <si>
    <t>Existing Property 4</t>
  </si>
  <si>
    <t>Location</t>
  </si>
  <si>
    <t>Dublin 18</t>
  </si>
  <si>
    <t>Bedrooms</t>
  </si>
  <si>
    <t>3 Bed</t>
  </si>
  <si>
    <t>Max LTV</t>
  </si>
  <si>
    <t>Current Market Value</t>
  </si>
  <si>
    <t xml:space="preserve">Mortgage Amount </t>
  </si>
  <si>
    <t>Term (years)</t>
  </si>
  <si>
    <t xml:space="preserve"> Max Years -</t>
  </si>
  <si>
    <t>Choose Interest Rate</t>
  </si>
  <si>
    <t>Manual Input</t>
  </si>
  <si>
    <t xml:space="preserve">Manual Input Rate  </t>
  </si>
  <si>
    <t>Net Income</t>
  </si>
  <si>
    <t>Equity Position</t>
  </si>
  <si>
    <t>Gross Actual Yield</t>
  </si>
  <si>
    <t>Net Actual Yield</t>
  </si>
  <si>
    <t>Repayment</t>
  </si>
  <si>
    <t>Repayment + 2%</t>
  </si>
  <si>
    <t xml:space="preserve">Repayment + 2% x 1.2 times      </t>
  </si>
  <si>
    <t>Rental Coverage Ratio (RCR)</t>
  </si>
  <si>
    <t>times</t>
  </si>
  <si>
    <t>Rental Surplus / Deficit</t>
  </si>
  <si>
    <t>Net Inc &amp; Full Stress</t>
  </si>
  <si>
    <t>Test - Rental Coverage Ratio (RCR)</t>
  </si>
  <si>
    <t>Test - Maximum LTV</t>
  </si>
  <si>
    <t>Notes</t>
  </si>
  <si>
    <t>Total Surplus / (Deficit)</t>
  </si>
  <si>
    <t>Total Equity Position</t>
  </si>
  <si>
    <t xml:space="preserve">To update - re-populate the blue cells with the latest Daft Quarterly Update data </t>
  </si>
  <si>
    <t>County</t>
  </si>
  <si>
    <t>1 Bed</t>
  </si>
  <si>
    <t>2 Bed</t>
  </si>
  <si>
    <t>4 Bed</t>
  </si>
  <si>
    <t>5 Bed</t>
  </si>
  <si>
    <t>1bed</t>
  </si>
  <si>
    <t>2bed</t>
  </si>
  <si>
    <t>3bed</t>
  </si>
  <si>
    <t>4bed</t>
  </si>
  <si>
    <t>5bed</t>
  </si>
  <si>
    <t>Dublin 1</t>
  </si>
  <si>
    <t>Dublin City Centre</t>
  </si>
  <si>
    <t>Carlow</t>
  </si>
  <si>
    <t>Dublin 2</t>
  </si>
  <si>
    <t>Dublin City (North)</t>
  </si>
  <si>
    <t>Cavan</t>
  </si>
  <si>
    <t>Dublin 3</t>
  </si>
  <si>
    <t>Dublin City (South)</t>
  </si>
  <si>
    <t>Clare</t>
  </si>
  <si>
    <t>Dublin 4</t>
  </si>
  <si>
    <t>Dublin County (North)</t>
  </si>
  <si>
    <t>Cork City</t>
  </si>
  <si>
    <t>Dublin 5</t>
  </si>
  <si>
    <t>Dublin County (South)</t>
  </si>
  <si>
    <t>Cork County</t>
  </si>
  <si>
    <t>Dublin 6</t>
  </si>
  <si>
    <t>Dublin County (West)</t>
  </si>
  <si>
    <t>Donegal</t>
  </si>
  <si>
    <t>Dublin 6W</t>
  </si>
  <si>
    <t>Dublin Commuter Counties</t>
  </si>
  <si>
    <t>Dublin 7</t>
  </si>
  <si>
    <t>West Leinster</t>
  </si>
  <si>
    <t>Dublin 8</t>
  </si>
  <si>
    <t>South East Leinster</t>
  </si>
  <si>
    <t>Dublin 9</t>
  </si>
  <si>
    <t>Munster</t>
  </si>
  <si>
    <t>Dublin 10</t>
  </si>
  <si>
    <t>Dublin 11</t>
  </si>
  <si>
    <t>Limerick City</t>
  </si>
  <si>
    <t>Dublin 12</t>
  </si>
  <si>
    <t>Waterford City</t>
  </si>
  <si>
    <t>Dublin 13</t>
  </si>
  <si>
    <t>Connaught / Ulster</t>
  </si>
  <si>
    <t>Dublin 14</t>
  </si>
  <si>
    <t>Galway City</t>
  </si>
  <si>
    <t>Dublin 15</t>
  </si>
  <si>
    <t>Dublin 16</t>
  </si>
  <si>
    <t>Dublin 17</t>
  </si>
  <si>
    <t>Dublin 20</t>
  </si>
  <si>
    <t>Dublin 22</t>
  </si>
  <si>
    <t>Dublin 24</t>
  </si>
  <si>
    <t>Meath</t>
  </si>
  <si>
    <t>Kildare</t>
  </si>
  <si>
    <t>Wicklow</t>
  </si>
  <si>
    <t>Louth</t>
  </si>
  <si>
    <t>Galway County</t>
  </si>
  <si>
    <t>Laois</t>
  </si>
  <si>
    <t>Kerry</t>
  </si>
  <si>
    <t>Westmeath</t>
  </si>
  <si>
    <t>Longford</t>
  </si>
  <si>
    <t>Kilkenny</t>
  </si>
  <si>
    <t>Offaly</t>
  </si>
  <si>
    <t>Leitrim</t>
  </si>
  <si>
    <t>Wexford</t>
  </si>
  <si>
    <t>Limerick County</t>
  </si>
  <si>
    <t>Mayo</t>
  </si>
  <si>
    <t>Tipperary</t>
  </si>
  <si>
    <t>Monaghan</t>
  </si>
  <si>
    <t>Waterford County</t>
  </si>
  <si>
    <t>Roscommon</t>
  </si>
  <si>
    <t>Sligo</t>
  </si>
  <si>
    <t xml:space="preserve">To update re-populate the blue cells with the latest Daft Quarterly Update data  </t>
  </si>
  <si>
    <t>Cells in yellow were estimated last time as no information was available</t>
  </si>
  <si>
    <t>Region</t>
  </si>
  <si>
    <t>Dublin City &amp; County</t>
  </si>
  <si>
    <t>Connaught</t>
  </si>
  <si>
    <t>Ulster</t>
  </si>
  <si>
    <t>Other Cities</t>
  </si>
  <si>
    <t>Proposed Property Rate</t>
  </si>
  <si>
    <t>Rate + 2%</t>
  </si>
  <si>
    <t>Residential Status</t>
  </si>
  <si>
    <t>Handy Formula Below</t>
  </si>
  <si>
    <t>Apt 1 Bed</t>
  </si>
  <si>
    <t>Market SVR</t>
  </si>
  <si>
    <t>Non Resident</t>
  </si>
  <si>
    <t>Apt 2 Bed</t>
  </si>
  <si>
    <t>PTSB SVR</t>
  </si>
  <si>
    <t>Min Rate</t>
  </si>
  <si>
    <t>Gross Monthly Rent</t>
  </si>
  <si>
    <t>Market Yield</t>
  </si>
  <si>
    <t>Market Rental</t>
  </si>
  <si>
    <t>Test - Gross Yield vs Market Yield</t>
  </si>
  <si>
    <t xml:space="preserve">Test - Gross Rent vs Market Rent </t>
  </si>
  <si>
    <t>2. Type of Mortgage Requested</t>
  </si>
  <si>
    <r>
      <t xml:space="preserve">3. Applicant(s) Income </t>
    </r>
    <r>
      <rPr>
        <sz val="16"/>
        <color indexed="10"/>
        <rFont val="Calibri"/>
        <family val="2"/>
      </rPr>
      <t>(Note: If you wish to add a 2nd Income you must Select "Joint" for "Application Type")</t>
    </r>
  </si>
  <si>
    <r>
      <t>4. Debt Repayments / Servicing Costs</t>
    </r>
    <r>
      <rPr>
        <sz val="16"/>
        <color indexed="9"/>
        <rFont val="Calibri"/>
        <family val="2"/>
      </rPr>
      <t xml:space="preserve"> </t>
    </r>
    <r>
      <rPr>
        <sz val="16"/>
        <color indexed="10"/>
        <rFont val="Calibri"/>
        <family val="2"/>
      </rPr>
      <t>(Not redeemed by the new facility)</t>
    </r>
  </si>
  <si>
    <t>5. AIP Affordability Tests</t>
  </si>
  <si>
    <t>Address of Property</t>
  </si>
  <si>
    <t>Lender</t>
  </si>
  <si>
    <t>Year of Drawdown / Acquisition</t>
  </si>
  <si>
    <t>Input Application Details Here</t>
  </si>
  <si>
    <t>Variable / Fixed</t>
  </si>
  <si>
    <t>Variable</t>
  </si>
  <si>
    <t>2 Year Fixed</t>
  </si>
  <si>
    <t>3 Year Fixed</t>
  </si>
  <si>
    <t>1 Year Fixed</t>
  </si>
  <si>
    <t>5 Year Fixed</t>
  </si>
  <si>
    <t>1 Yr Fix</t>
  </si>
  <si>
    <t>2 Yr Fix</t>
  </si>
  <si>
    <t>3 Yr Fix</t>
  </si>
  <si>
    <t>4 Yr Fix</t>
  </si>
  <si>
    <t>5 Yr Fix</t>
  </si>
  <si>
    <t>Branch / Broker Name</t>
  </si>
  <si>
    <t>Transaction Type</t>
  </si>
  <si>
    <t>Term</t>
  </si>
  <si>
    <t>Primary CA with PTSB</t>
  </si>
  <si>
    <t>Property Identified</t>
  </si>
  <si>
    <t>Salary Mandated</t>
  </si>
  <si>
    <t>PTSB Mortgage Exposure</t>
  </si>
  <si>
    <t>Beds</t>
  </si>
  <si>
    <t>PTSB Unsecured Exposure</t>
  </si>
  <si>
    <t>Property Value / VIR</t>
  </si>
  <si>
    <t>Income Applicant 1</t>
  </si>
  <si>
    <t>Equity / Deposit</t>
  </si>
  <si>
    <t>Income Applicant 2</t>
  </si>
  <si>
    <t>Gift / Other</t>
  </si>
  <si>
    <t>Rental Estimate</t>
  </si>
  <si>
    <t>PRA Result</t>
  </si>
  <si>
    <t>Property Advertised</t>
  </si>
  <si>
    <t>IRB</t>
  </si>
  <si>
    <t>Max Nets</t>
  </si>
  <si>
    <t>MDIR Requirement</t>
  </si>
  <si>
    <t>Score</t>
  </si>
  <si>
    <t>Credit Profile</t>
  </si>
  <si>
    <t>Nets Result</t>
  </si>
  <si>
    <t>MDIR Percentage</t>
  </si>
  <si>
    <t>MDIR Result</t>
  </si>
  <si>
    <t>Account Statements</t>
  </si>
  <si>
    <t>Pay Slips</t>
  </si>
  <si>
    <t>Salary Cert</t>
  </si>
  <si>
    <t>P60</t>
  </si>
  <si>
    <t>Google Applicant</t>
  </si>
  <si>
    <t>CRO Search</t>
  </si>
  <si>
    <t>Confirmed on Market</t>
  </si>
  <si>
    <t>Length of Time on Market</t>
  </si>
  <si>
    <t>ICB Record</t>
  </si>
  <si>
    <t>Folio Check</t>
  </si>
  <si>
    <t>Date of Approval</t>
  </si>
  <si>
    <t>Daft Average Rental</t>
  </si>
  <si>
    <t>Security Property Rental</t>
  </si>
  <si>
    <t>Validated Price / VIR (actual property)</t>
  </si>
  <si>
    <t>VIR  - Validated to Similar Property</t>
  </si>
  <si>
    <t>Daft Average Yield</t>
  </si>
  <si>
    <t>Blue Sky - Validated to Similar Property</t>
  </si>
  <si>
    <t>Security Property Yield</t>
  </si>
  <si>
    <t>Tenant Purchase - Validated to Similar</t>
  </si>
  <si>
    <t>Exposure Based Yield</t>
  </si>
  <si>
    <t>Variable or Fixed Rate</t>
  </si>
  <si>
    <t>Variable Rate</t>
  </si>
  <si>
    <t>5 year Fixed</t>
  </si>
  <si>
    <t>Interest Rate Table</t>
  </si>
  <si>
    <t>For Apartments  - LTV greater than 75% is by exception only !</t>
  </si>
  <si>
    <t>Date CA Opened</t>
  </si>
  <si>
    <t>Months CA Opened</t>
  </si>
  <si>
    <t>Any Local Considerations</t>
  </si>
  <si>
    <t>Confirmed / Comparable on PPR</t>
  </si>
  <si>
    <t>Loan to Income Ratio  (LTI)</t>
  </si>
  <si>
    <t>First Time Buyer</t>
  </si>
  <si>
    <t>FTB  /  STB</t>
  </si>
  <si>
    <t>Second Time Buyer</t>
  </si>
  <si>
    <t>STB Excess</t>
  </si>
  <si>
    <t>FTB Excess</t>
  </si>
  <si>
    <t>MAX CBI LTV Loan for FTB</t>
  </si>
  <si>
    <t>Max CBI Loan for STB</t>
  </si>
  <si>
    <t>Max Loan</t>
  </si>
  <si>
    <t>AIP Figure</t>
  </si>
  <si>
    <t>Loan to Value Breach</t>
  </si>
  <si>
    <t>Loan to Income Breach</t>
  </si>
  <si>
    <t xml:space="preserve">Very significantly below MDIR.                                 Application should only be considered by way of appeal by Branch Manager  </t>
  </si>
  <si>
    <t>12 Mths Continuous Employment</t>
  </si>
  <si>
    <t>Exemption Criteria Passed</t>
  </si>
  <si>
    <t>Sort Code</t>
  </si>
  <si>
    <t>Application No</t>
  </si>
  <si>
    <t>Primary Bankers         SA</t>
  </si>
  <si>
    <t>Primary Bankers         MA</t>
  </si>
  <si>
    <t>If Gift - above/below 50%?</t>
  </si>
  <si>
    <t>Total €</t>
  </si>
  <si>
    <t>Total %</t>
  </si>
  <si>
    <t>No of Exceptions</t>
  </si>
  <si>
    <t>Reason for Referral</t>
  </si>
  <si>
    <t>MDIR  Surplus / Deficit</t>
  </si>
  <si>
    <t>Conditions of Sanction 1</t>
  </si>
  <si>
    <t>Conditions of Sanction 2</t>
  </si>
  <si>
    <t>Conditions of Sanction 3</t>
  </si>
  <si>
    <t>Conditions of Sanction 4</t>
  </si>
  <si>
    <t>Conditions of Sanction 5</t>
  </si>
  <si>
    <t>Conditions of Sanction 6</t>
  </si>
  <si>
    <t>Auto 1</t>
  </si>
  <si>
    <t>Auto 2</t>
  </si>
  <si>
    <t>Underwritten By</t>
  </si>
  <si>
    <t>Co-signed by</t>
  </si>
  <si>
    <t>New To Bank</t>
  </si>
  <si>
    <t>Inter Family - Validated to Similar Property</t>
  </si>
  <si>
    <t>Confirmed on Market1</t>
  </si>
  <si>
    <t>Choose Option</t>
  </si>
  <si>
    <t>Do you consent to input and store details on computer system</t>
  </si>
  <si>
    <t>Do you consent to contact in the future regarding this enquiry</t>
  </si>
  <si>
    <t>Allowable Income Percentages to calculate Net Income based on Budget 2015</t>
  </si>
  <si>
    <t xml:space="preserve">Site Value / Cost = </t>
  </si>
  <si>
    <t>Fin</t>
  </si>
  <si>
    <t>Broker</t>
  </si>
  <si>
    <t>Broker Name</t>
  </si>
  <si>
    <t>Advisor</t>
  </si>
  <si>
    <t>Contact Detail</t>
  </si>
  <si>
    <t>Annuity Calc</t>
  </si>
  <si>
    <t>Interest Only calc</t>
  </si>
  <si>
    <t>Payment Structure</t>
  </si>
  <si>
    <t>Payment structure</t>
  </si>
  <si>
    <t>Annuity</t>
  </si>
  <si>
    <t>Interest Only</t>
  </si>
  <si>
    <t>Straight Switcher</t>
  </si>
  <si>
    <t>Stress Percentage =</t>
  </si>
  <si>
    <t>End</t>
  </si>
  <si>
    <r>
      <t>Maintenance :</t>
    </r>
    <r>
      <rPr>
        <b/>
        <i/>
        <sz val="14"/>
        <color rgb="FFFF0000"/>
        <rFont val="Calibri"/>
        <family val="2"/>
      </rPr>
      <t xml:space="preserve"> </t>
    </r>
    <r>
      <rPr>
        <i/>
        <sz val="14"/>
        <color rgb="FFFF0000"/>
        <rFont val="Calibri"/>
        <family val="2"/>
      </rPr>
      <t xml:space="preserve">Enter Maintenance Amount </t>
    </r>
  </si>
  <si>
    <r>
      <t xml:space="preserve">
</t>
    </r>
    <r>
      <rPr>
        <b/>
        <i/>
        <sz val="14"/>
        <rFont val="Calibri"/>
        <family val="2"/>
      </rPr>
      <t xml:space="preserve"> Loans</t>
    </r>
    <r>
      <rPr>
        <b/>
        <i/>
        <sz val="14"/>
        <color indexed="10"/>
        <rFont val="Calibri"/>
        <family val="2"/>
      </rPr>
      <t>:</t>
    </r>
    <r>
      <rPr>
        <i/>
        <sz val="14"/>
        <color indexed="10"/>
        <rFont val="Calibri"/>
        <family val="2"/>
      </rPr>
      <t xml:space="preserve"> Enter details of lender, purpose &amp; repayment on each Facility
</t>
    </r>
  </si>
  <si>
    <t>Q4 2016</t>
  </si>
  <si>
    <t>CBI LTI Calculations</t>
  </si>
  <si>
    <t>Allowable Income</t>
  </si>
  <si>
    <t>CBI Max</t>
  </si>
  <si>
    <t>Over By</t>
  </si>
  <si>
    <r>
      <t xml:space="preserve">BTL Calculation Sheet </t>
    </r>
    <r>
      <rPr>
        <b/>
        <u/>
        <sz val="12"/>
        <color theme="4"/>
        <rFont val="Calibri"/>
        <family val="2"/>
        <scheme val="minor"/>
      </rPr>
      <t xml:space="preserve">    (Nov 2017)</t>
    </r>
  </si>
  <si>
    <t>MDIR  (Dec 2018)</t>
  </si>
  <si>
    <t>Budget 2018 as prepared by Rob O'Brien See Tax Calculator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</si>
</sst>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64" formatCode="&quot;€&quot;#,##0;\-&quot;€&quot;#,##0"/>
    <numFmt numFmtId="165" formatCode="&quot;€&quot;#,##0;[Red]\-&quot;€&quot;#,##0"/>
    <numFmt numFmtId="166" formatCode="&quot;€&quot;#,##0.00;[Red]\-&quot;€&quot;#,##0.00"/>
    <numFmt numFmtId="167" formatCode="_-* #,##0.00_-;\-* #,##0.00_-;_-* &quot;-&quot;??_-;_-@_-"/>
    <numFmt numFmtId="168" formatCode="[$€-2]\ #,##0_);[Red]\([$€-2]\ #,##0\)"/>
    <numFmt numFmtId="169" formatCode="_-* #,##0_-;\-* #,##0_-;_-* &quot;-&quot;??_-;_-@_-"/>
    <numFmt numFmtId="170" formatCode="[$€-2]\ #,##0;[Red][$€-2]\ #,##0"/>
    <numFmt numFmtId="171" formatCode="[$£-809]#,##0;[Red]\-[$£-809]#,##0"/>
    <numFmt numFmtId="172" formatCode="0.0%"/>
    <numFmt numFmtId="173" formatCode="&quot;€&quot;#,##0"/>
    <numFmt numFmtId="174" formatCode="&quot;€&quot;#,##0.00"/>
    <numFmt numFmtId="175" formatCode="#,##0.00000"/>
    <numFmt numFmtId="176" formatCode="&quot;€&quot;#,##0.00000;[Red]\-&quot;€&quot;#,##0.00000"/>
    <numFmt numFmtId="177" formatCode="&quot;€&quot;#,##0.0000;[Red]\-&quot;€&quot;#,##0.0000"/>
    <numFmt numFmtId="178" formatCode="0.0"/>
    <numFmt numFmtId="179" formatCode="[$€-2]\ #,##0"/>
    <numFmt numFmtId="180" formatCode="[$-F800]dddd\,\ mmmm\ dd\,\ yyyy"/>
    <numFmt numFmtId="181" formatCode="[$€-2]\ #,##0.00;[Red][$€-2]\ #,##0.00"/>
    <numFmt numFmtId="182" formatCode="[$€-2]\ #,##0.00"/>
    <numFmt numFmtId="183" formatCode="0.00_ ;\-0.00\ "/>
    <numFmt numFmtId="184" formatCode="0.0000%"/>
    <numFmt numFmtId="185" formatCode="#,##0.0"/>
    <numFmt numFmtId="186" formatCode="&quot;€&quot;#,##0.0"/>
  </numFmts>
  <fonts count="1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b/>
      <sz val="8"/>
      <name val="Arial"/>
      <family val="2"/>
    </font>
    <font>
      <sz val="10"/>
      <name val="Arial"/>
      <family val="2"/>
    </font>
    <font>
      <b/>
      <sz val="12"/>
      <name val="Arial"/>
      <family val="2"/>
    </font>
    <font>
      <sz val="8"/>
      <name val="Arial"/>
      <family val="2"/>
    </font>
    <font>
      <b/>
      <sz val="13"/>
      <name val="Arial"/>
      <family val="2"/>
    </font>
    <font>
      <b/>
      <sz val="14"/>
      <name val="Arial"/>
      <family val="2"/>
    </font>
    <font>
      <sz val="14"/>
      <name val="Arial"/>
      <family val="2"/>
    </font>
    <font>
      <sz val="10"/>
      <color indexed="9"/>
      <name val="Arial"/>
      <family val="2"/>
    </font>
    <font>
      <sz val="9"/>
      <name val="Arial"/>
      <family val="2"/>
    </font>
    <font>
      <b/>
      <sz val="12"/>
      <color indexed="9"/>
      <name val="Arial"/>
      <family val="2"/>
    </font>
    <font>
      <b/>
      <i/>
      <sz val="12"/>
      <name val="Arial"/>
      <family val="2"/>
    </font>
    <font>
      <b/>
      <i/>
      <sz val="12"/>
      <color indexed="9"/>
      <name val="Arial"/>
      <family val="2"/>
    </font>
    <font>
      <i/>
      <sz val="10"/>
      <name val="Arial"/>
      <family val="2"/>
    </font>
    <font>
      <sz val="16"/>
      <name val="Arial"/>
      <family val="2"/>
    </font>
    <font>
      <sz val="10"/>
      <name val="Arial"/>
      <family val="2"/>
    </font>
    <font>
      <sz val="11"/>
      <color indexed="9"/>
      <name val="Calibri"/>
      <family val="2"/>
    </font>
    <font>
      <sz val="10"/>
      <name val="Calibri"/>
      <family val="2"/>
    </font>
    <font>
      <b/>
      <sz val="10"/>
      <name val="Calibri"/>
      <family val="2"/>
    </font>
    <font>
      <sz val="7"/>
      <name val="Times New Roman"/>
      <family val="1"/>
    </font>
    <font>
      <b/>
      <sz val="10"/>
      <color indexed="52"/>
      <name val="Arial"/>
      <family val="2"/>
    </font>
    <font>
      <b/>
      <sz val="14"/>
      <name val="Calibri"/>
      <family val="2"/>
    </font>
    <font>
      <b/>
      <sz val="14"/>
      <color indexed="10"/>
      <name val="Calibri"/>
      <family val="2"/>
    </font>
    <font>
      <sz val="10"/>
      <name val="Consolas"/>
      <family val="3"/>
    </font>
    <font>
      <b/>
      <sz val="11"/>
      <color indexed="9"/>
      <name val="Calibri"/>
      <family val="2"/>
    </font>
    <font>
      <sz val="16"/>
      <color indexed="9"/>
      <name val="Calibri"/>
      <family val="2"/>
    </font>
    <font>
      <sz val="16"/>
      <color indexed="10"/>
      <name val="Calibri"/>
      <family val="2"/>
    </font>
    <font>
      <b/>
      <sz val="10"/>
      <color indexed="10"/>
      <name val="Calibri"/>
      <family val="2"/>
    </font>
    <font>
      <b/>
      <i/>
      <sz val="14"/>
      <name val="Calibri"/>
      <family val="2"/>
    </font>
    <font>
      <b/>
      <i/>
      <sz val="12"/>
      <name val="Calibri"/>
      <family val="2"/>
    </font>
    <font>
      <i/>
      <sz val="14"/>
      <name val="Calibri"/>
      <family val="2"/>
    </font>
    <font>
      <sz val="11"/>
      <name val="Calibri"/>
      <family val="2"/>
    </font>
    <font>
      <sz val="18"/>
      <name val="Calibri"/>
      <family val="2"/>
    </font>
    <font>
      <sz val="8"/>
      <color indexed="63"/>
      <name val="Arial"/>
      <family val="2"/>
    </font>
    <font>
      <sz val="7"/>
      <color indexed="63"/>
      <name val="Times New Roman"/>
      <family val="1"/>
    </font>
    <font>
      <sz val="9"/>
      <color indexed="63"/>
      <name val="Arial"/>
      <family val="2"/>
    </font>
    <font>
      <sz val="9"/>
      <name val="Wingdings"/>
      <charset val="2"/>
    </font>
    <font>
      <b/>
      <sz val="9"/>
      <color indexed="8"/>
      <name val="Arial"/>
      <family val="2"/>
    </font>
    <font>
      <sz val="9"/>
      <color indexed="8"/>
      <name val="Arial"/>
      <family val="2"/>
    </font>
    <font>
      <sz val="12"/>
      <name val="Arial"/>
      <family val="2"/>
    </font>
    <font>
      <b/>
      <sz val="16"/>
      <name val="Arial"/>
      <family val="2"/>
    </font>
    <font>
      <b/>
      <sz val="10"/>
      <color indexed="10"/>
      <name val="Arial"/>
      <family val="2"/>
    </font>
    <font>
      <b/>
      <sz val="11"/>
      <name val="Arial"/>
      <family val="2"/>
    </font>
    <font>
      <sz val="11"/>
      <name val="Arial"/>
      <family val="2"/>
    </font>
    <font>
      <b/>
      <sz val="16"/>
      <color indexed="10"/>
      <name val="Calibri"/>
      <family val="2"/>
    </font>
    <font>
      <b/>
      <sz val="18"/>
      <name val="Calibri"/>
      <family val="2"/>
    </font>
    <font>
      <b/>
      <sz val="16"/>
      <name val="Calibri"/>
      <family val="2"/>
    </font>
    <font>
      <sz val="11"/>
      <color theme="1"/>
      <name val="Calibri"/>
      <family val="2"/>
      <scheme val="minor"/>
    </font>
    <font>
      <u/>
      <sz val="10"/>
      <color theme="10"/>
      <name val="Arial"/>
      <family val="2"/>
    </font>
    <font>
      <sz val="10"/>
      <name val="Calibri"/>
      <family val="2"/>
      <scheme val="minor"/>
    </font>
    <font>
      <b/>
      <sz val="14"/>
      <color theme="1"/>
      <name val="Calibri"/>
      <family val="2"/>
      <scheme val="minor"/>
    </font>
    <font>
      <sz val="11"/>
      <name val="Calibri"/>
      <family val="2"/>
      <scheme val="minor"/>
    </font>
    <font>
      <b/>
      <sz val="11"/>
      <name val="Calibri"/>
      <family val="2"/>
      <scheme val="minor"/>
    </font>
    <font>
      <u/>
      <sz val="16"/>
      <color theme="10"/>
      <name val="Arial"/>
      <family val="2"/>
    </font>
    <font>
      <b/>
      <sz val="9"/>
      <color rgb="FF58595B"/>
      <name val="Arial"/>
      <family val="2"/>
    </font>
    <font>
      <b/>
      <sz val="9"/>
      <color theme="1" tint="0.34998626667073579"/>
      <name val="Arial"/>
      <family val="2"/>
    </font>
    <font>
      <b/>
      <sz val="9"/>
      <color rgb="FF102C72"/>
      <name val="Arial"/>
      <family val="2"/>
    </font>
    <font>
      <sz val="9"/>
      <color rgb="FF58595B"/>
      <name val="Wingdings"/>
      <charset val="2"/>
    </font>
    <font>
      <sz val="9"/>
      <color rgb="FF58595B"/>
      <name val="Arial"/>
      <family val="2"/>
    </font>
    <font>
      <b/>
      <sz val="9"/>
      <color rgb="FFF57A21"/>
      <name val="Arial"/>
      <family val="2"/>
    </font>
    <font>
      <b/>
      <sz val="9"/>
      <color theme="1"/>
      <name val="Arial"/>
      <family val="2"/>
    </font>
    <font>
      <sz val="9"/>
      <color theme="1"/>
      <name val="Arial"/>
      <family val="2"/>
    </font>
    <font>
      <b/>
      <sz val="14"/>
      <color theme="1" tint="0.14999847407452621"/>
      <name val="Arial"/>
      <family val="2"/>
    </font>
    <font>
      <b/>
      <sz val="16"/>
      <color indexed="9"/>
      <name val="Calibri"/>
      <family val="2"/>
    </font>
    <font>
      <b/>
      <sz val="14"/>
      <color theme="1"/>
      <name val="Calibri"/>
      <family val="2"/>
    </font>
    <font>
      <sz val="14"/>
      <name val="Calibri"/>
      <family val="2"/>
    </font>
    <font>
      <b/>
      <sz val="14"/>
      <color theme="0"/>
      <name val="Calibri"/>
      <family val="2"/>
    </font>
    <font>
      <b/>
      <sz val="18"/>
      <color indexed="9"/>
      <name val="Calibri"/>
      <family val="2"/>
    </font>
    <font>
      <sz val="10"/>
      <color indexed="9"/>
      <name val="Calibri"/>
      <family val="2"/>
    </font>
    <font>
      <b/>
      <sz val="11"/>
      <name val="Calibri"/>
      <family val="2"/>
    </font>
    <font>
      <b/>
      <i/>
      <sz val="16"/>
      <name val="Calibri"/>
      <family val="2"/>
    </font>
    <font>
      <b/>
      <sz val="8"/>
      <name val="Calibri"/>
      <family val="2"/>
    </font>
    <font>
      <b/>
      <sz val="16"/>
      <color rgb="FFFF0000"/>
      <name val="Calibri"/>
      <family val="2"/>
    </font>
    <font>
      <b/>
      <sz val="10"/>
      <color indexed="9"/>
      <name val="Calibri"/>
      <family val="2"/>
    </font>
    <font>
      <b/>
      <i/>
      <sz val="16"/>
      <color indexed="10"/>
      <name val="Calibri"/>
      <family val="2"/>
    </font>
    <font>
      <b/>
      <sz val="16"/>
      <color theme="0"/>
      <name val="Calibri"/>
      <family val="2"/>
    </font>
    <font>
      <b/>
      <i/>
      <sz val="9"/>
      <name val="Calibri"/>
      <family val="2"/>
    </font>
    <font>
      <sz val="10"/>
      <color indexed="10"/>
      <name val="Calibri"/>
      <family val="2"/>
    </font>
    <font>
      <b/>
      <sz val="9"/>
      <name val="Calibri"/>
      <family val="2"/>
    </font>
    <font>
      <b/>
      <sz val="14"/>
      <color indexed="9"/>
      <name val="Calibri"/>
      <family val="2"/>
    </font>
    <font>
      <i/>
      <sz val="14"/>
      <color indexed="10"/>
      <name val="Calibri"/>
      <family val="2"/>
    </font>
    <font>
      <sz val="14"/>
      <color indexed="9"/>
      <name val="Calibri"/>
      <family val="2"/>
    </font>
    <font>
      <b/>
      <i/>
      <sz val="10"/>
      <color indexed="9"/>
      <name val="Calibri"/>
      <family val="2"/>
    </font>
    <font>
      <b/>
      <i/>
      <sz val="14"/>
      <color indexed="10"/>
      <name val="Calibri"/>
      <family val="2"/>
    </font>
    <font>
      <b/>
      <u/>
      <sz val="10"/>
      <name val="Calibri"/>
      <family val="2"/>
    </font>
    <font>
      <sz val="8"/>
      <name val="Calibri"/>
      <family val="2"/>
    </font>
    <font>
      <b/>
      <i/>
      <sz val="10"/>
      <name val="Calibri"/>
      <family val="2"/>
    </font>
    <font>
      <b/>
      <sz val="12"/>
      <name val="Calibri"/>
      <family val="2"/>
    </font>
    <font>
      <i/>
      <sz val="14"/>
      <color indexed="9"/>
      <name val="Calibri"/>
      <family val="2"/>
    </font>
    <font>
      <u/>
      <sz val="10"/>
      <color indexed="9"/>
      <name val="Calibri"/>
      <family val="2"/>
    </font>
    <font>
      <b/>
      <i/>
      <u/>
      <sz val="10"/>
      <name val="Calibri"/>
      <family val="2"/>
    </font>
    <font>
      <i/>
      <u/>
      <sz val="10"/>
      <color indexed="9"/>
      <name val="Calibri"/>
      <family val="2"/>
    </font>
    <font>
      <b/>
      <i/>
      <sz val="13"/>
      <name val="Calibri"/>
      <family val="2"/>
    </font>
    <font>
      <b/>
      <sz val="14"/>
      <color rgb="FF000000"/>
      <name val="Arial"/>
      <family val="2"/>
    </font>
    <font>
      <b/>
      <sz val="14"/>
      <color indexed="63"/>
      <name val="Arial"/>
      <family val="2"/>
    </font>
    <font>
      <u/>
      <sz val="16"/>
      <color indexed="12"/>
      <name val="Arial"/>
      <family val="2"/>
    </font>
    <font>
      <b/>
      <sz val="9"/>
      <color indexed="63"/>
      <name val="Arial"/>
      <family val="2"/>
    </font>
    <font>
      <b/>
      <sz val="9"/>
      <color indexed="18"/>
      <name val="Arial"/>
      <family val="2"/>
    </font>
    <font>
      <sz val="9"/>
      <color indexed="63"/>
      <name val="Wingdings"/>
      <charset val="2"/>
    </font>
    <font>
      <b/>
      <sz val="9"/>
      <color indexed="53"/>
      <name val="Arial"/>
      <family val="2"/>
    </font>
    <font>
      <b/>
      <sz val="10"/>
      <color rgb="FFFF0000"/>
      <name val="Arial"/>
      <family val="2"/>
    </font>
    <font>
      <b/>
      <sz val="12"/>
      <color theme="3"/>
      <name val="Calibri"/>
      <family val="2"/>
      <scheme val="minor"/>
    </font>
    <font>
      <b/>
      <sz val="8"/>
      <color theme="1"/>
      <name val="Arial"/>
      <family val="2"/>
    </font>
    <font>
      <b/>
      <u/>
      <sz val="9"/>
      <name val="Arial"/>
      <family val="2"/>
    </font>
    <font>
      <sz val="12"/>
      <name val="Times New Roman"/>
      <family val="1"/>
    </font>
    <font>
      <sz val="12"/>
      <color theme="1"/>
      <name val="Arial"/>
      <family val="2"/>
    </font>
    <font>
      <sz val="14"/>
      <color theme="1"/>
      <name val="Arial"/>
      <family val="2"/>
    </font>
    <font>
      <sz val="10"/>
      <color theme="1"/>
      <name val="Arial"/>
      <family val="2"/>
    </font>
    <font>
      <sz val="16"/>
      <name val="Calibri"/>
      <family val="2"/>
    </font>
    <font>
      <b/>
      <i/>
      <sz val="14"/>
      <color indexed="9"/>
      <name val="Calibri"/>
      <family val="2"/>
    </font>
    <font>
      <b/>
      <u/>
      <sz val="11"/>
      <name val="Calibri"/>
      <family val="2"/>
    </font>
    <font>
      <b/>
      <sz val="14"/>
      <color rgb="FF002060"/>
      <name val="Calibri"/>
      <family val="2"/>
    </font>
    <font>
      <sz val="10"/>
      <color rgb="FF002060"/>
      <name val="Arial"/>
      <family val="2"/>
    </font>
    <font>
      <b/>
      <sz val="12"/>
      <color rgb="FF002060"/>
      <name val="Calibri"/>
      <family val="2"/>
    </font>
    <font>
      <b/>
      <sz val="12"/>
      <color rgb="FF002060"/>
      <name val="Arial"/>
      <family val="2"/>
    </font>
    <font>
      <b/>
      <sz val="14"/>
      <color rgb="FFFF0000"/>
      <name val="Calibri"/>
      <family val="2"/>
    </font>
    <font>
      <b/>
      <sz val="11"/>
      <color indexed="10"/>
      <name val="Calibri"/>
      <family val="2"/>
    </font>
    <font>
      <b/>
      <u/>
      <sz val="14"/>
      <name val="Calibri"/>
      <family val="2"/>
    </font>
    <font>
      <sz val="12"/>
      <color theme="1"/>
      <name val="Calibri"/>
      <family val="2"/>
    </font>
    <font>
      <b/>
      <i/>
      <sz val="18"/>
      <color indexed="9"/>
      <name val="Calibri"/>
      <family val="2"/>
    </font>
    <font>
      <b/>
      <sz val="18"/>
      <color theme="0"/>
      <name val="Calibri"/>
      <family val="2"/>
      <scheme val="minor"/>
    </font>
    <font>
      <sz val="12"/>
      <name val="Calibri"/>
      <family val="2"/>
    </font>
    <font>
      <sz val="16"/>
      <color theme="0"/>
      <name val="Calibri"/>
      <family val="2"/>
    </font>
    <font>
      <b/>
      <u/>
      <sz val="16"/>
      <color theme="4"/>
      <name val="Calibri"/>
      <family val="2"/>
      <scheme val="minor"/>
    </font>
    <font>
      <b/>
      <u/>
      <sz val="12"/>
      <color theme="4"/>
      <name val="Calibri"/>
      <family val="2"/>
      <scheme val="minor"/>
    </font>
    <font>
      <b/>
      <sz val="12"/>
      <color theme="4"/>
      <name val="Calibri"/>
      <family val="2"/>
      <scheme val="minor"/>
    </font>
    <font>
      <b/>
      <sz val="12"/>
      <color theme="1"/>
      <name val="Calibri"/>
      <family val="2"/>
      <scheme val="minor"/>
    </font>
    <font>
      <sz val="12"/>
      <color theme="1"/>
      <name val="Calibri"/>
      <family val="2"/>
      <scheme val="minor"/>
    </font>
    <font>
      <b/>
      <u/>
      <sz val="12"/>
      <color theme="3" tint="0.39997558519241921"/>
      <name val="Calibri"/>
      <family val="2"/>
      <scheme val="minor"/>
    </font>
    <font>
      <b/>
      <sz val="12"/>
      <color theme="3" tint="0.39997558519241921"/>
      <name val="Calibri"/>
      <family val="2"/>
      <scheme val="minor"/>
    </font>
    <font>
      <sz val="10"/>
      <color theme="1"/>
      <name val="Calibri"/>
      <family val="2"/>
      <scheme val="minor"/>
    </font>
    <font>
      <b/>
      <sz val="14"/>
      <color theme="3"/>
      <name val="Calibri"/>
      <family val="2"/>
      <scheme val="minor"/>
    </font>
    <font>
      <sz val="12"/>
      <color theme="0"/>
      <name val="Calibri"/>
      <family val="2"/>
      <scheme val="minor"/>
    </font>
    <font>
      <sz val="12"/>
      <color rgb="FF002060"/>
      <name val="Calibri"/>
      <family val="2"/>
      <scheme val="minor"/>
    </font>
    <font>
      <sz val="10"/>
      <color theme="2"/>
      <name val="Calibri"/>
      <family val="2"/>
      <scheme val="minor"/>
    </font>
    <font>
      <b/>
      <sz val="13"/>
      <color theme="1"/>
      <name val="Calibri"/>
      <family val="2"/>
      <scheme val="minor"/>
    </font>
    <font>
      <b/>
      <u/>
      <sz val="14"/>
      <color rgb="FFC00000"/>
      <name val="Calibri"/>
      <family val="2"/>
      <scheme val="minor"/>
    </font>
    <font>
      <b/>
      <sz val="14"/>
      <color rgb="FFC00000"/>
      <name val="Calibri"/>
      <family val="2"/>
      <scheme val="minor"/>
    </font>
    <font>
      <b/>
      <sz val="10"/>
      <color theme="0"/>
      <name val="Calibri"/>
      <family val="2"/>
    </font>
    <font>
      <sz val="14"/>
      <color theme="0"/>
      <name val="Calibri"/>
      <family val="2"/>
    </font>
    <font>
      <sz val="11"/>
      <color theme="0"/>
      <name val="Calibri"/>
      <family val="2"/>
    </font>
    <font>
      <sz val="9"/>
      <color theme="0"/>
      <name val="Calibri"/>
      <family val="2"/>
    </font>
    <font>
      <sz val="12"/>
      <color indexed="9"/>
      <name val="Calibri"/>
      <family val="2"/>
    </font>
    <font>
      <sz val="14"/>
      <color theme="0"/>
      <name val="Arial"/>
      <family val="2"/>
    </font>
    <font>
      <b/>
      <sz val="15"/>
      <color rgb="FFFF0000"/>
      <name val="Calibri"/>
      <family val="2"/>
    </font>
    <font>
      <b/>
      <sz val="14"/>
      <color rgb="FFFF0000"/>
      <name val="Arial"/>
      <family val="2"/>
    </font>
    <font>
      <b/>
      <sz val="10"/>
      <color rgb="FFFF0000"/>
      <name val="Calibri"/>
      <family val="2"/>
      <scheme val="minor"/>
    </font>
    <font>
      <sz val="11"/>
      <color indexed="8"/>
      <name val="Calibri"/>
      <family val="2"/>
    </font>
    <font>
      <sz val="10"/>
      <color indexed="8"/>
      <name val="Arial"/>
      <family val="2"/>
    </font>
    <font>
      <sz val="16"/>
      <color theme="1"/>
      <name val="Arial"/>
      <family val="2"/>
    </font>
    <font>
      <b/>
      <sz val="16"/>
      <color theme="1"/>
      <name val="Calibri"/>
      <family val="2"/>
    </font>
    <font>
      <b/>
      <sz val="10"/>
      <color theme="1"/>
      <name val="Calibri"/>
      <family val="2"/>
    </font>
    <font>
      <sz val="14"/>
      <name val="Calibri"/>
      <family val="2"/>
      <scheme val="minor"/>
    </font>
    <font>
      <sz val="10"/>
      <color theme="0"/>
      <name val="Calibri"/>
      <family val="2"/>
    </font>
    <font>
      <sz val="12"/>
      <name val="Calibri"/>
      <family val="2"/>
      <scheme val="minor"/>
    </font>
    <font>
      <b/>
      <sz val="14"/>
      <color indexed="81"/>
      <name val="Tahoma"/>
      <family val="2"/>
    </font>
    <font>
      <b/>
      <i/>
      <sz val="14"/>
      <color rgb="FFFF0000"/>
      <name val="Calibri"/>
      <family val="2"/>
    </font>
    <font>
      <i/>
      <sz val="14"/>
      <color rgb="FFFF0000"/>
      <name val="Calibri"/>
      <family val="2"/>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indexed="8"/>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22"/>
        <bgColor indexed="0"/>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9"/>
      </right>
      <top/>
      <bottom/>
      <diagonal/>
    </border>
    <border>
      <left style="thin">
        <color indexed="9"/>
      </left>
      <right style="thin">
        <color indexed="9"/>
      </right>
      <top/>
      <bottom/>
      <diagonal/>
    </border>
    <border>
      <left style="thin">
        <color indexed="9"/>
      </left>
      <right style="medium">
        <color indexed="64"/>
      </right>
      <top/>
      <bottom/>
      <diagonal/>
    </border>
    <border>
      <left style="medium">
        <color indexed="64"/>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9"/>
      </left>
      <right/>
      <top/>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999999"/>
      </left>
      <right style="medium">
        <color rgb="FF999999"/>
      </right>
      <top style="medium">
        <color rgb="FF999999"/>
      </top>
      <bottom style="medium">
        <color rgb="FF999999"/>
      </bottom>
      <diagonal/>
    </border>
    <border>
      <left style="medium">
        <color indexed="64"/>
      </left>
      <right style="thin">
        <color indexed="9"/>
      </right>
      <top style="medium">
        <color indexed="64"/>
      </top>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style="medium">
        <color indexed="64"/>
      </left>
      <right/>
      <top style="thin">
        <color indexed="9"/>
      </top>
      <bottom style="thin">
        <color indexed="9"/>
      </bottom>
      <diagonal/>
    </border>
    <border>
      <left/>
      <right style="medium">
        <color indexed="64"/>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style="medium">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style="thin">
        <color indexed="9"/>
      </left>
      <right style="medium">
        <color indexed="64"/>
      </right>
      <top style="thin">
        <color indexed="64"/>
      </top>
      <bottom style="medium">
        <color indexed="64"/>
      </bottom>
      <diagonal/>
    </border>
    <border>
      <left style="medium">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style="thin">
        <color indexed="9"/>
      </left>
      <right style="medium">
        <color indexed="64"/>
      </right>
      <top style="thin">
        <color indexed="64"/>
      </top>
      <bottom/>
      <diagonal/>
    </border>
    <border>
      <left style="thin">
        <color indexed="9"/>
      </left>
      <right style="thin">
        <color indexed="64"/>
      </right>
      <top/>
      <bottom/>
      <diagonal/>
    </border>
    <border>
      <left/>
      <right style="thin">
        <color indexed="9"/>
      </right>
      <top/>
      <bottom/>
      <diagonal/>
    </border>
    <border>
      <left style="thin">
        <color indexed="9"/>
      </left>
      <right style="medium">
        <color indexed="64"/>
      </right>
      <top style="thin">
        <color indexed="9"/>
      </top>
      <bottom style="thin">
        <color indexed="9"/>
      </bottom>
      <diagonal/>
    </border>
    <border>
      <left style="medium">
        <color indexed="55"/>
      </left>
      <right style="medium">
        <color indexed="55"/>
      </right>
      <top style="medium">
        <color indexed="55"/>
      </top>
      <bottom style="medium">
        <color indexed="55"/>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9"/>
      </bottom>
      <diagonal/>
    </border>
    <border>
      <left style="thin">
        <color indexed="64"/>
      </left>
      <right style="thin">
        <color indexed="64"/>
      </right>
      <top style="medium">
        <color indexed="64"/>
      </top>
      <bottom style="thin">
        <color indexed="64"/>
      </bottom>
      <diagonal/>
    </border>
    <border>
      <left style="medium">
        <color indexed="64"/>
      </left>
      <right/>
      <top style="thin">
        <color indexed="9"/>
      </top>
      <bottom style="thin">
        <color indexed="9"/>
      </bottom>
      <diagonal/>
    </border>
    <border>
      <left style="medium">
        <color indexed="64"/>
      </left>
      <right/>
      <top style="thin">
        <color indexed="9"/>
      </top>
      <bottom style="medium">
        <color indexed="64"/>
      </bottom>
      <diagonal/>
    </border>
    <border>
      <left style="thin">
        <color indexed="64"/>
      </left>
      <right style="thin">
        <color indexed="64"/>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style="thin">
        <color indexed="9"/>
      </right>
      <top style="thin">
        <color indexed="9"/>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9"/>
      </left>
      <right style="medium">
        <color auto="1"/>
      </right>
      <top style="thin">
        <color indexed="9"/>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s>
  <cellStyleXfs count="14">
    <xf numFmtId="0" fontId="0"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59" fillId="0" borderId="0" applyNumberFormat="0" applyFill="0" applyBorder="0" applyAlignment="0" applyProtection="0"/>
    <xf numFmtId="0" fontId="58" fillId="0" borderId="0"/>
    <xf numFmtId="0" fontId="13" fillId="0" borderId="0"/>
    <xf numFmtId="0" fontId="9" fillId="0" borderId="0"/>
    <xf numFmtId="9" fontId="9" fillId="0" borderId="0" applyFont="0" applyFill="0" applyBorder="0" applyAlignment="0" applyProtection="0"/>
    <xf numFmtId="9" fontId="26" fillId="0" borderId="0" applyFont="0" applyFill="0" applyBorder="0" applyAlignment="0" applyProtection="0"/>
    <xf numFmtId="0" fontId="8" fillId="0" borderId="0"/>
    <xf numFmtId="9" fontId="8" fillId="0" borderId="0" applyFont="0" applyFill="0" applyBorder="0" applyAlignment="0" applyProtection="0"/>
    <xf numFmtId="0" fontId="159" fillId="0" borderId="0"/>
    <xf numFmtId="9" fontId="9" fillId="0" borderId="0" applyFont="0" applyFill="0" applyBorder="0" applyAlignment="0" applyProtection="0"/>
  </cellStyleXfs>
  <cellXfs count="1165">
    <xf numFmtId="0" fontId="0" fillId="0" borderId="0" xfId="0"/>
    <xf numFmtId="0" fontId="9" fillId="0" borderId="0" xfId="0" applyFont="1"/>
    <xf numFmtId="0" fontId="19" fillId="0" borderId="0" xfId="0" applyFont="1"/>
    <xf numFmtId="0" fontId="9" fillId="0" borderId="0" xfId="0" applyFont="1" applyAlignment="1">
      <alignment horizontal="center"/>
    </xf>
    <xf numFmtId="0" fontId="21" fillId="0" borderId="0" xfId="0" applyFont="1" applyAlignment="1">
      <alignment horizontal="left"/>
    </xf>
    <xf numFmtId="0" fontId="22" fillId="0" borderId="0" xfId="0" applyFont="1" applyAlignment="1">
      <alignment horizontal="center"/>
    </xf>
    <xf numFmtId="0" fontId="23" fillId="0" borderId="0" xfId="0" applyFont="1" applyAlignment="1">
      <alignment horizontal="center"/>
    </xf>
    <xf numFmtId="0" fontId="0" fillId="0" borderId="0" xfId="0" applyProtection="1">
      <protection hidden="1"/>
    </xf>
    <xf numFmtId="0" fontId="24" fillId="0" borderId="0" xfId="0" applyFont="1" applyAlignment="1">
      <alignment wrapText="1"/>
    </xf>
    <xf numFmtId="0" fontId="0" fillId="0" borderId="0" xfId="0" applyAlignment="1">
      <alignment horizontal="center"/>
    </xf>
    <xf numFmtId="173" fontId="27" fillId="2" borderId="1" xfId="0" applyNumberFormat="1" applyFont="1" applyFill="1" applyBorder="1" applyAlignment="1">
      <alignment horizontal="center" vertical="top" wrapText="1"/>
    </xf>
    <xf numFmtId="1" fontId="27" fillId="2" borderId="1" xfId="0" applyNumberFormat="1" applyFont="1" applyFill="1" applyBorder="1" applyAlignment="1">
      <alignment horizontal="center" vertical="top" wrapText="1"/>
    </xf>
    <xf numFmtId="0" fontId="27" fillId="3" borderId="0" xfId="0" applyFont="1" applyFill="1" applyAlignment="1">
      <alignment vertical="top" wrapText="1"/>
    </xf>
    <xf numFmtId="173" fontId="0" fillId="0" borderId="2" xfId="0" applyNumberFormat="1" applyBorder="1" applyAlignment="1">
      <alignment horizontal="center"/>
    </xf>
    <xf numFmtId="9" fontId="0" fillId="0" borderId="2" xfId="8" applyFont="1" applyBorder="1" applyAlignment="1">
      <alignment horizontal="center"/>
    </xf>
    <xf numFmtId="9" fontId="0" fillId="0" borderId="2" xfId="0" applyNumberFormat="1" applyBorder="1" applyAlignment="1">
      <alignment horizontal="center"/>
    </xf>
    <xf numFmtId="0" fontId="0" fillId="3" borderId="0" xfId="0" applyFill="1"/>
    <xf numFmtId="173" fontId="0" fillId="0" borderId="3" xfId="0" applyNumberFormat="1" applyBorder="1" applyAlignment="1">
      <alignment horizontal="center"/>
    </xf>
    <xf numFmtId="9" fontId="0" fillId="0" borderId="3" xfId="8" applyFont="1" applyBorder="1" applyAlignment="1">
      <alignment horizontal="center"/>
    </xf>
    <xf numFmtId="9" fontId="0" fillId="0" borderId="3" xfId="0" applyNumberFormat="1" applyBorder="1" applyAlignment="1">
      <alignment horizontal="center"/>
    </xf>
    <xf numFmtId="173" fontId="0" fillId="0" borderId="4" xfId="0" applyNumberFormat="1" applyBorder="1" applyAlignment="1">
      <alignment horizontal="center"/>
    </xf>
    <xf numFmtId="9" fontId="0" fillId="0" borderId="4" xfId="8" applyFont="1" applyBorder="1" applyAlignment="1">
      <alignment horizontal="center"/>
    </xf>
    <xf numFmtId="9" fontId="0" fillId="0" borderId="4" xfId="0" applyNumberFormat="1" applyBorder="1" applyAlignment="1">
      <alignment horizontal="center"/>
    </xf>
    <xf numFmtId="0" fontId="14" fillId="0" borderId="0" xfId="0" applyFont="1" applyAlignment="1">
      <alignment horizontal="left"/>
    </xf>
    <xf numFmtId="0" fontId="9" fillId="0" borderId="0" xfId="0" applyFont="1" applyBorder="1" applyAlignment="1">
      <alignment vertical="top" wrapText="1"/>
    </xf>
    <xf numFmtId="0" fontId="15" fillId="5" borderId="0" xfId="0" applyFont="1" applyFill="1" applyAlignment="1" applyProtection="1">
      <alignment vertical="center"/>
      <protection locked="0"/>
    </xf>
    <xf numFmtId="0" fontId="0" fillId="3" borderId="0" xfId="0" applyFill="1" applyAlignment="1" applyProtection="1">
      <alignment wrapText="1"/>
      <protection hidden="1"/>
    </xf>
    <xf numFmtId="0" fontId="64" fillId="0" borderId="0" xfId="4" applyFont="1" applyProtection="1">
      <protection hidden="1"/>
    </xf>
    <xf numFmtId="0" fontId="31" fillId="3" borderId="0" xfId="0" applyFont="1" applyFill="1" applyAlignment="1" applyProtection="1">
      <alignment horizontal="center" vertical="center" wrapText="1"/>
      <protection hidden="1"/>
    </xf>
    <xf numFmtId="0" fontId="9" fillId="3" borderId="0" xfId="0" applyFont="1" applyFill="1" applyAlignment="1" applyProtection="1">
      <alignment horizontal="left" vertical="center" wrapText="1"/>
      <protection hidden="1"/>
    </xf>
    <xf numFmtId="0" fontId="9" fillId="3" borderId="0" xfId="0" applyFont="1" applyFill="1" applyAlignment="1" applyProtection="1">
      <alignment vertical="center" wrapText="1"/>
      <protection hidden="1"/>
    </xf>
    <xf numFmtId="0" fontId="10" fillId="3" borderId="0" xfId="0" applyFont="1" applyFill="1" applyAlignment="1" applyProtection="1">
      <alignment horizontal="center" vertical="center" wrapText="1"/>
      <protection hidden="1"/>
    </xf>
    <xf numFmtId="0" fontId="14" fillId="5" borderId="0" xfId="0" applyFont="1" applyFill="1" applyAlignment="1" applyProtection="1">
      <alignment horizontal="left" vertical="top"/>
      <protection hidden="1"/>
    </xf>
    <xf numFmtId="0" fontId="15" fillId="5" borderId="0" xfId="0" applyFont="1" applyFill="1" applyAlignment="1" applyProtection="1">
      <alignment horizontal="left" vertical="top"/>
      <protection hidden="1"/>
    </xf>
    <xf numFmtId="0" fontId="9" fillId="0" borderId="0" xfId="0" applyFont="1" applyAlignment="1" applyProtection="1">
      <alignment vertical="center"/>
      <protection hidden="1"/>
    </xf>
    <xf numFmtId="0" fontId="15" fillId="5" borderId="0" xfId="0" applyFont="1" applyFill="1" applyAlignment="1" applyProtection="1">
      <alignment vertical="center"/>
      <protection hidden="1"/>
    </xf>
    <xf numFmtId="0" fontId="12" fillId="5" borderId="0" xfId="0" applyFont="1" applyFill="1" applyAlignment="1" applyProtection="1">
      <alignment vertical="center"/>
      <protection hidden="1"/>
    </xf>
    <xf numFmtId="0" fontId="44" fillId="5" borderId="0" xfId="0" applyFont="1" applyFill="1" applyBorder="1" applyAlignment="1" applyProtection="1">
      <alignment vertical="center"/>
      <protection hidden="1"/>
    </xf>
    <xf numFmtId="0" fontId="15" fillId="5" borderId="0" xfId="0" applyFont="1" applyFill="1" applyAlignment="1" applyProtection="1">
      <protection hidden="1"/>
    </xf>
    <xf numFmtId="0" fontId="16" fillId="5" borderId="0" xfId="0" applyFont="1" applyFill="1" applyAlignment="1" applyProtection="1">
      <alignment horizontal="left" vertical="top"/>
      <protection hidden="1"/>
    </xf>
    <xf numFmtId="0" fontId="65" fillId="5" borderId="0" xfId="0" applyFont="1" applyFill="1" applyAlignment="1" applyProtection="1">
      <alignment vertical="center"/>
      <protection hidden="1"/>
    </xf>
    <xf numFmtId="0" fontId="66" fillId="5" borderId="0" xfId="0" applyFont="1" applyFill="1" applyAlignment="1" applyProtection="1">
      <alignment vertical="center"/>
      <protection hidden="1"/>
    </xf>
    <xf numFmtId="0" fontId="67"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68" fillId="5" borderId="0" xfId="0" applyFont="1" applyFill="1" applyAlignment="1" applyProtection="1">
      <alignment horizontal="left" vertical="center" indent="4"/>
      <protection hidden="1"/>
    </xf>
    <xf numFmtId="0" fontId="69" fillId="5" borderId="0" xfId="0" applyFont="1" applyFill="1" applyAlignment="1" applyProtection="1">
      <alignment vertical="center"/>
      <protection hidden="1"/>
    </xf>
    <xf numFmtId="0" fontId="70" fillId="5" borderId="0" xfId="0" applyFont="1" applyFill="1" applyAlignment="1" applyProtection="1">
      <alignment vertical="center"/>
      <protection hidden="1"/>
    </xf>
    <xf numFmtId="0" fontId="47" fillId="5" borderId="0" xfId="0" applyFont="1" applyFill="1" applyAlignment="1" applyProtection="1">
      <alignment horizontal="left" vertical="center" indent="4"/>
      <protection hidden="1"/>
    </xf>
    <xf numFmtId="0" fontId="42" fillId="5" borderId="0" xfId="0" applyFont="1" applyFill="1" applyAlignment="1" applyProtection="1">
      <alignment vertical="center"/>
      <protection hidden="1"/>
    </xf>
    <xf numFmtId="0" fontId="0" fillId="0" borderId="0" xfId="0" applyAlignment="1" applyProtection="1">
      <alignment wrapText="1"/>
      <protection hidden="1"/>
    </xf>
    <xf numFmtId="0" fontId="10" fillId="0" borderId="11" xfId="0" applyFont="1" applyBorder="1" applyProtection="1">
      <protection locked="0" hidden="1"/>
    </xf>
    <xf numFmtId="0" fontId="10" fillId="0" borderId="11" xfId="0" applyFont="1" applyBorder="1" applyAlignment="1" applyProtection="1">
      <alignment horizontal="center"/>
      <protection locked="0" hidden="1"/>
    </xf>
    <xf numFmtId="0" fontId="0" fillId="0" borderId="0" xfId="0" applyProtection="1">
      <protection locked="0" hidden="1"/>
    </xf>
    <xf numFmtId="0" fontId="0" fillId="0" borderId="0" xfId="0" applyAlignment="1" applyProtection="1">
      <alignment horizontal="center"/>
      <protection locked="0" hidden="1"/>
    </xf>
    <xf numFmtId="0" fontId="9" fillId="0" borderId="0" xfId="0" applyFont="1" applyProtection="1">
      <protection locked="0" hidden="1"/>
    </xf>
    <xf numFmtId="0" fontId="9" fillId="0" borderId="11" xfId="0" applyFont="1" applyBorder="1" applyProtection="1">
      <protection locked="0" hidden="1"/>
    </xf>
    <xf numFmtId="0" fontId="0" fillId="0" borderId="11" xfId="0" applyBorder="1" applyAlignment="1" applyProtection="1">
      <alignment horizontal="center"/>
      <protection locked="0" hidden="1"/>
    </xf>
    <xf numFmtId="0" fontId="34" fillId="0" borderId="62" xfId="0" applyFont="1" applyBorder="1" applyAlignment="1" applyProtection="1">
      <alignment horizontal="left" indent="2"/>
      <protection locked="0" hidden="1"/>
    </xf>
    <xf numFmtId="0" fontId="68" fillId="5" borderId="0" xfId="0" applyFont="1" applyFill="1" applyAlignment="1" applyProtection="1">
      <alignment horizontal="left" vertical="center" wrapText="1" indent="4"/>
      <protection hidden="1"/>
    </xf>
    <xf numFmtId="0" fontId="64" fillId="5" borderId="0" xfId="4" applyFont="1" applyFill="1" applyAlignment="1"/>
    <xf numFmtId="0" fontId="10" fillId="3" borderId="0" xfId="0" applyFont="1" applyFill="1" applyAlignment="1" applyProtection="1">
      <alignment vertical="center" wrapText="1"/>
      <protection hidden="1"/>
    </xf>
    <xf numFmtId="0" fontId="71" fillId="5" borderId="0" xfId="0" applyFont="1" applyFill="1" applyAlignment="1" applyProtection="1">
      <alignment vertical="center"/>
      <protection hidden="1"/>
    </xf>
    <xf numFmtId="0" fontId="72" fillId="5" borderId="0" xfId="0" applyFont="1" applyFill="1" applyBorder="1" applyAlignment="1" applyProtection="1">
      <alignment vertical="center"/>
      <protection hidden="1"/>
    </xf>
    <xf numFmtId="0" fontId="20" fillId="5" borderId="0" xfId="0" applyFont="1" applyFill="1" applyAlignment="1" applyProtection="1">
      <alignment vertical="center"/>
      <protection hidden="1"/>
    </xf>
    <xf numFmtId="0" fontId="11" fillId="3" borderId="0" xfId="0" applyFont="1" applyFill="1" applyAlignment="1" applyProtection="1">
      <alignment horizontal="left" vertical="center" wrapText="1"/>
      <protection hidden="1"/>
    </xf>
    <xf numFmtId="0" fontId="73" fillId="5" borderId="0" xfId="0" applyFont="1" applyFill="1" applyAlignment="1">
      <alignment wrapText="1"/>
    </xf>
    <xf numFmtId="0" fontId="15" fillId="5" borderId="0" xfId="0" applyFont="1" applyFill="1" applyAlignment="1" applyProtection="1">
      <alignment vertical="center"/>
      <protection locked="0" hidden="1"/>
    </xf>
    <xf numFmtId="180" fontId="20" fillId="3" borderId="0" xfId="0" applyNumberFormat="1" applyFont="1" applyFill="1" applyAlignment="1" applyProtection="1">
      <alignment horizontal="left" vertical="center" wrapText="1"/>
      <protection hidden="1"/>
    </xf>
    <xf numFmtId="0" fontId="9" fillId="0" borderId="0" xfId="0" applyFont="1" applyProtection="1">
      <protection hidden="1"/>
    </xf>
    <xf numFmtId="0" fontId="10" fillId="0" borderId="0" xfId="0" applyFont="1" applyBorder="1" applyProtection="1">
      <protection locked="0"/>
    </xf>
    <xf numFmtId="0" fontId="10" fillId="0" borderId="0" xfId="0" applyFont="1" applyProtection="1">
      <protection locked="0"/>
    </xf>
    <xf numFmtId="0" fontId="0" fillId="3" borderId="0" xfId="0" applyFill="1" applyBorder="1" applyProtection="1">
      <protection locked="0"/>
    </xf>
    <xf numFmtId="0" fontId="10" fillId="3" borderId="0" xfId="0" applyFont="1" applyFill="1" applyBorder="1" applyProtection="1">
      <protection locked="0"/>
    </xf>
    <xf numFmtId="173" fontId="10" fillId="4" borderId="31" xfId="0" applyNumberFormat="1" applyFont="1" applyFill="1" applyBorder="1" applyProtection="1"/>
    <xf numFmtId="0" fontId="0" fillId="0" borderId="0" xfId="0" applyBorder="1" applyProtection="1">
      <protection locked="0"/>
    </xf>
    <xf numFmtId="0" fontId="52" fillId="0" borderId="0" xfId="0" applyFont="1" applyBorder="1" applyProtection="1">
      <protection locked="0"/>
    </xf>
    <xf numFmtId="173" fontId="10" fillId="0" borderId="31" xfId="0" applyNumberFormat="1" applyFont="1" applyBorder="1" applyProtection="1">
      <protection locked="0"/>
    </xf>
    <xf numFmtId="0" fontId="10" fillId="0" borderId="0" xfId="0" applyFont="1" applyFill="1" applyBorder="1" applyProtection="1">
      <protection locked="0"/>
    </xf>
    <xf numFmtId="173" fontId="10" fillId="4" borderId="31" xfId="2" applyNumberFormat="1" applyFont="1" applyFill="1" applyBorder="1" applyProtection="1"/>
    <xf numFmtId="0" fontId="11" fillId="0" borderId="0" xfId="0" applyFont="1" applyBorder="1" applyProtection="1">
      <protection locked="0"/>
    </xf>
    <xf numFmtId="174" fontId="10" fillId="0" borderId="0" xfId="2" applyNumberFormat="1" applyFont="1" applyBorder="1" applyProtection="1">
      <protection locked="0"/>
    </xf>
    <xf numFmtId="0" fontId="20" fillId="0" borderId="0" xfId="0" applyFont="1" applyBorder="1" applyProtection="1">
      <protection locked="0"/>
    </xf>
    <xf numFmtId="0" fontId="10" fillId="4" borderId="31" xfId="0" applyFont="1" applyFill="1" applyBorder="1" applyProtection="1"/>
    <xf numFmtId="0" fontId="10" fillId="0" borderId="17" xfId="0" applyFont="1" applyBorder="1" applyAlignment="1" applyProtection="1">
      <alignment horizontal="center"/>
      <protection locked="0"/>
    </xf>
    <xf numFmtId="173" fontId="52" fillId="0" borderId="31" xfId="2" applyNumberFormat="1" applyFont="1" applyBorder="1" applyProtection="1">
      <protection locked="0"/>
    </xf>
    <xf numFmtId="0" fontId="11" fillId="0" borderId="0" xfId="0" applyFont="1" applyBorder="1" applyAlignment="1" applyProtection="1">
      <alignment wrapText="1"/>
      <protection locked="0"/>
    </xf>
    <xf numFmtId="173" fontId="10" fillId="3" borderId="31" xfId="2" applyNumberFormat="1" applyFont="1" applyFill="1" applyBorder="1" applyProtection="1">
      <protection locked="0"/>
    </xf>
    <xf numFmtId="169" fontId="9" fillId="0" borderId="0" xfId="2" applyNumberFormat="1" applyBorder="1" applyProtection="1">
      <protection locked="0"/>
    </xf>
    <xf numFmtId="0" fontId="14" fillId="0" borderId="0" xfId="0" applyFont="1" applyBorder="1" applyProtection="1">
      <protection locked="0"/>
    </xf>
    <xf numFmtId="0" fontId="11" fillId="3" borderId="0" xfId="0" applyFont="1" applyFill="1" applyBorder="1" applyProtection="1">
      <protection locked="0"/>
    </xf>
    <xf numFmtId="173" fontId="10" fillId="0" borderId="31" xfId="2" applyNumberFormat="1" applyFont="1" applyBorder="1" applyProtection="1">
      <protection locked="0"/>
    </xf>
    <xf numFmtId="173" fontId="10" fillId="4" borderId="31" xfId="2" applyNumberFormat="1" applyFont="1" applyFill="1" applyBorder="1" applyProtection="1">
      <protection hidden="1"/>
    </xf>
    <xf numFmtId="169" fontId="29" fillId="3" borderId="0" xfId="3" applyNumberFormat="1" applyFont="1" applyFill="1" applyBorder="1" applyAlignment="1" applyProtection="1">
      <alignment horizontal="right"/>
      <protection hidden="1"/>
    </xf>
    <xf numFmtId="173" fontId="74" fillId="8" borderId="0" xfId="8" applyNumberFormat="1" applyFont="1" applyFill="1" applyBorder="1" applyAlignment="1" applyProtection="1">
      <alignment vertical="center"/>
      <protection hidden="1"/>
    </xf>
    <xf numFmtId="169" fontId="29" fillId="3" borderId="0" xfId="3" applyNumberFormat="1" applyFont="1" applyFill="1" applyBorder="1" applyAlignment="1" applyProtection="1">
      <alignment vertical="center"/>
      <protection hidden="1"/>
    </xf>
    <xf numFmtId="170" fontId="74" fillId="8" borderId="31" xfId="3" applyNumberFormat="1" applyFont="1" applyFill="1" applyBorder="1" applyAlignment="1" applyProtection="1">
      <alignment vertical="center"/>
      <protection hidden="1"/>
    </xf>
    <xf numFmtId="169" fontId="29" fillId="3" borderId="0" xfId="3" applyNumberFormat="1" applyFont="1" applyFill="1" applyBorder="1" applyAlignment="1" applyProtection="1">
      <alignment horizontal="right" vertical="center"/>
      <protection hidden="1"/>
    </xf>
    <xf numFmtId="168" fontId="29" fillId="3" borderId="0" xfId="3" applyNumberFormat="1" applyFont="1" applyFill="1" applyBorder="1" applyAlignment="1" applyProtection="1">
      <alignment vertical="center"/>
      <protection hidden="1"/>
    </xf>
    <xf numFmtId="171" fontId="29" fillId="3" borderId="0" xfId="3" applyNumberFormat="1" applyFont="1" applyFill="1" applyBorder="1" applyAlignment="1" applyProtection="1">
      <alignment vertical="center"/>
      <protection hidden="1"/>
    </xf>
    <xf numFmtId="168" fontId="29" fillId="3" borderId="0" xfId="3" applyNumberFormat="1" applyFont="1" applyFill="1" applyBorder="1" applyProtection="1">
      <protection hidden="1"/>
    </xf>
    <xf numFmtId="169" fontId="29" fillId="3" borderId="0" xfId="3" applyNumberFormat="1" applyFont="1" applyFill="1" applyBorder="1" applyProtection="1">
      <protection hidden="1"/>
    </xf>
    <xf numFmtId="170" fontId="29" fillId="3" borderId="0" xfId="3" applyNumberFormat="1" applyFont="1" applyFill="1" applyBorder="1" applyProtection="1">
      <protection hidden="1"/>
    </xf>
    <xf numFmtId="170" fontId="90" fillId="8" borderId="31" xfId="3" applyNumberFormat="1" applyFont="1" applyFill="1" applyBorder="1" applyProtection="1">
      <protection hidden="1"/>
    </xf>
    <xf numFmtId="170" fontId="29" fillId="3" borderId="31" xfId="3" applyNumberFormat="1" applyFont="1" applyFill="1" applyBorder="1" applyProtection="1">
      <protection hidden="1"/>
    </xf>
    <xf numFmtId="170" fontId="74" fillId="8" borderId="31" xfId="3" applyNumberFormat="1" applyFont="1" applyFill="1" applyBorder="1" applyProtection="1">
      <protection hidden="1"/>
    </xf>
    <xf numFmtId="172" fontId="29" fillId="3" borderId="32" xfId="8" applyNumberFormat="1" applyFont="1" applyFill="1" applyBorder="1" applyAlignment="1" applyProtection="1">
      <alignment horizontal="right"/>
      <protection hidden="1"/>
    </xf>
    <xf numFmtId="173" fontId="29" fillId="3" borderId="29" xfId="3" applyNumberFormat="1" applyFont="1" applyFill="1" applyBorder="1" applyProtection="1">
      <protection hidden="1"/>
    </xf>
    <xf numFmtId="173" fontId="74" fillId="8" borderId="31" xfId="3" applyNumberFormat="1" applyFont="1" applyFill="1" applyBorder="1" applyAlignment="1" applyProtection="1">
      <alignment horizontal="right"/>
      <protection hidden="1"/>
    </xf>
    <xf numFmtId="173" fontId="74" fillId="8" borderId="31" xfId="1" applyNumberFormat="1" applyFont="1" applyFill="1" applyBorder="1" applyProtection="1">
      <protection hidden="1"/>
    </xf>
    <xf numFmtId="169" fontId="32" fillId="3" borderId="0" xfId="3" applyNumberFormat="1" applyFont="1" applyFill="1" applyBorder="1" applyProtection="1">
      <protection hidden="1"/>
    </xf>
    <xf numFmtId="179" fontId="74" fillId="8" borderId="31" xfId="3" applyNumberFormat="1" applyFont="1" applyFill="1" applyBorder="1" applyAlignment="1" applyProtection="1">
      <alignment vertical="top"/>
      <protection hidden="1"/>
    </xf>
    <xf numFmtId="173" fontId="90" fillId="3" borderId="9" xfId="8" applyNumberFormat="1" applyFont="1" applyFill="1" applyBorder="1" applyAlignment="1" applyProtection="1">
      <alignment vertical="center"/>
      <protection hidden="1"/>
    </xf>
    <xf numFmtId="178" fontId="78" fillId="3" borderId="0" xfId="8" applyNumberFormat="1" applyFont="1" applyFill="1" applyBorder="1" applyAlignment="1" applyProtection="1">
      <alignment horizontal="center" wrapText="1"/>
      <protection hidden="1"/>
    </xf>
    <xf numFmtId="0" fontId="105" fillId="3" borderId="0" xfId="0" applyFont="1" applyFill="1" applyAlignment="1">
      <alignment wrapText="1"/>
    </xf>
    <xf numFmtId="0" fontId="106" fillId="0" borderId="0" xfId="4" applyFont="1" applyProtection="1">
      <protection hidden="1"/>
    </xf>
    <xf numFmtId="0" fontId="106" fillId="3" borderId="0" xfId="4" applyFont="1" applyFill="1" applyAlignment="1"/>
    <xf numFmtId="0" fontId="34" fillId="0" borderId="88" xfId="0" applyFont="1" applyBorder="1" applyAlignment="1" applyProtection="1">
      <alignment horizontal="left" indent="2"/>
      <protection locked="0" hidden="1"/>
    </xf>
    <xf numFmtId="0" fontId="14" fillId="3" borderId="0" xfId="0" applyFont="1" applyFill="1" applyAlignment="1" applyProtection="1">
      <alignment horizontal="left" vertical="top"/>
      <protection hidden="1"/>
    </xf>
    <xf numFmtId="0" fontId="15" fillId="3" borderId="0" xfId="0" applyFont="1" applyFill="1" applyAlignment="1" applyProtection="1">
      <alignment horizontal="left" vertical="top"/>
      <protection hidden="1"/>
    </xf>
    <xf numFmtId="0" fontId="15" fillId="3" borderId="0" xfId="0" applyFont="1" applyFill="1" applyAlignment="1" applyProtection="1">
      <alignment vertical="center"/>
      <protection locked="0" hidden="1"/>
    </xf>
    <xf numFmtId="0" fontId="15" fillId="3" borderId="0" xfId="0" applyFont="1" applyFill="1" applyAlignment="1" applyProtection="1">
      <alignment vertical="center"/>
      <protection hidden="1"/>
    </xf>
    <xf numFmtId="0" fontId="15" fillId="3" borderId="0" xfId="0" applyFont="1" applyFill="1" applyAlignment="1" applyProtection="1">
      <alignment vertical="center"/>
      <protection locked="0"/>
    </xf>
    <xf numFmtId="0" fontId="12" fillId="3" borderId="0" xfId="0" applyFont="1" applyFill="1" applyAlignment="1" applyProtection="1">
      <alignment vertical="center"/>
      <protection hidden="1"/>
    </xf>
    <xf numFmtId="0" fontId="20" fillId="3" borderId="0" xfId="0" applyFont="1" applyFill="1" applyAlignment="1" applyProtection="1">
      <alignment vertical="center"/>
      <protection hidden="1"/>
    </xf>
    <xf numFmtId="0" fontId="44" fillId="3" borderId="0" xfId="0" applyFont="1" applyFill="1" applyBorder="1" applyAlignment="1" applyProtection="1">
      <alignment vertical="center"/>
      <protection hidden="1"/>
    </xf>
    <xf numFmtId="0" fontId="15" fillId="3" borderId="0" xfId="0" applyFont="1" applyFill="1" applyAlignment="1" applyProtection="1">
      <protection hidden="1"/>
    </xf>
    <xf numFmtId="0" fontId="16" fillId="3" borderId="0" xfId="0" applyFont="1" applyFill="1" applyAlignment="1" applyProtection="1">
      <alignment horizontal="left" vertical="top"/>
      <protection hidden="1"/>
    </xf>
    <xf numFmtId="0" fontId="107" fillId="3" borderId="0" xfId="0" applyFont="1" applyFill="1" applyAlignment="1" applyProtection="1">
      <alignment vertical="center"/>
      <protection hidden="1"/>
    </xf>
    <xf numFmtId="0" fontId="108" fillId="3" borderId="0" xfId="0" applyFont="1" applyFill="1" applyAlignment="1" applyProtection="1">
      <alignment vertical="center"/>
      <protection hidden="1"/>
    </xf>
    <xf numFmtId="0" fontId="11" fillId="3" borderId="0" xfId="0" applyFont="1" applyFill="1" applyAlignment="1" applyProtection="1">
      <alignment vertical="center"/>
      <protection hidden="1"/>
    </xf>
    <xf numFmtId="0" fontId="109" fillId="3" borderId="0" xfId="0" applyFont="1" applyFill="1" applyAlignment="1" applyProtection="1">
      <alignment horizontal="left" vertical="center" indent="4"/>
      <protection hidden="1"/>
    </xf>
    <xf numFmtId="0" fontId="46" fillId="3" borderId="0" xfId="0" applyFont="1" applyFill="1" applyAlignment="1" applyProtection="1">
      <alignment vertical="center"/>
      <protection hidden="1"/>
    </xf>
    <xf numFmtId="0" fontId="109" fillId="3" borderId="0" xfId="0" applyFont="1" applyFill="1" applyAlignment="1" applyProtection="1">
      <alignment horizontal="left" vertical="center" wrapText="1" indent="4"/>
      <protection hidden="1"/>
    </xf>
    <xf numFmtId="0" fontId="110" fillId="3" borderId="0" xfId="0" applyFont="1" applyFill="1" applyAlignment="1" applyProtection="1">
      <alignment vertical="center"/>
      <protection hidden="1"/>
    </xf>
    <xf numFmtId="0" fontId="47" fillId="3" borderId="0" xfId="0" applyFont="1" applyFill="1" applyAlignment="1" applyProtection="1">
      <alignment horizontal="left" vertical="center" indent="4"/>
      <protection hidden="1"/>
    </xf>
    <xf numFmtId="0" fontId="42" fillId="3" borderId="0" xfId="0" applyFont="1" applyFill="1" applyAlignment="1" applyProtection="1">
      <alignment vertical="center"/>
      <protection hidden="1"/>
    </xf>
    <xf numFmtId="0" fontId="48" fillId="3" borderId="0" xfId="0" applyFont="1" applyFill="1" applyAlignment="1" applyProtection="1">
      <alignment vertical="center"/>
      <protection hidden="1"/>
    </xf>
    <xf numFmtId="0" fontId="49" fillId="3" borderId="0" xfId="0" applyFont="1" applyFill="1" applyBorder="1" applyAlignment="1" applyProtection="1">
      <alignment vertical="center"/>
      <protection hidden="1"/>
    </xf>
    <xf numFmtId="0" fontId="0" fillId="5" borderId="0" xfId="0" applyFill="1" applyAlignment="1" applyProtection="1">
      <alignment wrapText="1"/>
      <protection hidden="1"/>
    </xf>
    <xf numFmtId="0" fontId="11" fillId="5" borderId="0" xfId="0" applyFont="1" applyFill="1" applyAlignment="1" applyProtection="1">
      <alignment wrapText="1"/>
      <protection hidden="1"/>
    </xf>
    <xf numFmtId="0" fontId="20" fillId="5" borderId="0" xfId="0" applyFont="1" applyFill="1" applyAlignment="1" applyProtection="1">
      <alignment wrapText="1"/>
      <protection hidden="1"/>
    </xf>
    <xf numFmtId="0" fontId="20" fillId="5" borderId="0" xfId="0" applyFont="1" applyFill="1" applyAlignment="1" applyProtection="1">
      <alignment horizontal="left" vertical="center" wrapText="1"/>
      <protection hidden="1"/>
    </xf>
    <xf numFmtId="0" fontId="10" fillId="3" borderId="0" xfId="0" applyFont="1" applyFill="1" applyAlignment="1" applyProtection="1">
      <alignment vertical="center"/>
      <protection hidden="1"/>
    </xf>
    <xf numFmtId="170" fontId="57" fillId="3" borderId="31" xfId="3" applyNumberFormat="1" applyFont="1" applyFill="1" applyBorder="1" applyAlignment="1" applyProtection="1">
      <alignment horizontal="center"/>
      <protection locked="0" hidden="1"/>
    </xf>
    <xf numFmtId="10" fontId="29" fillId="3" borderId="0" xfId="8" applyNumberFormat="1" applyFont="1" applyFill="1" applyProtection="1">
      <protection locked="0" hidden="1"/>
    </xf>
    <xf numFmtId="9" fontId="29" fillId="3" borderId="0" xfId="8" applyFont="1" applyFill="1" applyProtection="1">
      <protection locked="0" hidden="1"/>
    </xf>
    <xf numFmtId="0" fontId="20" fillId="5" borderId="0" xfId="0" applyFont="1" applyFill="1" applyAlignment="1" applyProtection="1">
      <protection hidden="1"/>
    </xf>
    <xf numFmtId="0" fontId="20" fillId="0" borderId="0" xfId="0" applyFont="1" applyBorder="1" applyAlignment="1" applyProtection="1">
      <alignment wrapText="1"/>
      <protection hidden="1"/>
    </xf>
    <xf numFmtId="0" fontId="12" fillId="3" borderId="0" xfId="0" applyFont="1" applyFill="1" applyAlignment="1" applyProtection="1">
      <alignment vertical="center" wrapText="1"/>
      <protection hidden="1"/>
    </xf>
    <xf numFmtId="0" fontId="12" fillId="3" borderId="0" xfId="0" applyFont="1" applyFill="1" applyAlignment="1" applyProtection="1">
      <alignment horizontal="right" vertical="center" wrapText="1"/>
      <protection hidden="1"/>
    </xf>
    <xf numFmtId="0" fontId="0" fillId="0" borderId="0" xfId="0" applyAlignment="1" applyProtection="1">
      <alignment horizontal="right"/>
      <protection hidden="1"/>
    </xf>
    <xf numFmtId="0" fontId="113" fillId="3" borderId="0" xfId="0" applyFont="1" applyFill="1" applyAlignment="1" applyProtection="1">
      <alignment horizontal="right" vertical="center" wrapText="1"/>
      <protection hidden="1"/>
    </xf>
    <xf numFmtId="0" fontId="12" fillId="3" borderId="91" xfId="0" applyFont="1" applyFill="1" applyBorder="1" applyAlignment="1" applyProtection="1">
      <alignment horizontal="right" vertical="center" wrapText="1"/>
      <protection hidden="1"/>
    </xf>
    <xf numFmtId="0" fontId="68" fillId="5" borderId="0" xfId="0" applyFont="1" applyFill="1" applyAlignment="1" applyProtection="1">
      <alignment horizontal="left" vertical="center" wrapText="1"/>
      <protection hidden="1"/>
    </xf>
    <xf numFmtId="0" fontId="68" fillId="5" borderId="0" xfId="0" applyFont="1" applyFill="1" applyAlignment="1" applyProtection="1">
      <alignment horizontal="left" vertical="center"/>
      <protection hidden="1"/>
    </xf>
    <xf numFmtId="0" fontId="47" fillId="5" borderId="0" xfId="0" applyFont="1" applyFill="1" applyAlignment="1" applyProtection="1">
      <alignment horizontal="left" vertical="center"/>
      <protection hidden="1"/>
    </xf>
    <xf numFmtId="0" fontId="114" fillId="5" borderId="0" xfId="0" applyFont="1" applyFill="1" applyAlignment="1" applyProtection="1">
      <protection hidden="1"/>
    </xf>
    <xf numFmtId="0" fontId="12" fillId="3" borderId="0" xfId="0" applyFont="1" applyFill="1" applyBorder="1" applyAlignment="1" applyProtection="1">
      <alignment horizontal="right" vertical="center" wrapText="1"/>
      <protection hidden="1"/>
    </xf>
    <xf numFmtId="0" fontId="115"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54" fillId="0" borderId="0" xfId="0" applyFont="1" applyBorder="1" applyAlignment="1" applyProtection="1">
      <alignment wrapText="1"/>
      <protection hidden="1"/>
    </xf>
    <xf numFmtId="0" fontId="118" fillId="0" borderId="0" xfId="0" applyFont="1"/>
    <xf numFmtId="0" fontId="0" fillId="0" borderId="0" xfId="0" applyAlignment="1" applyProtection="1">
      <alignment horizontal="left"/>
      <protection hidden="1"/>
    </xf>
    <xf numFmtId="0" fontId="20" fillId="0" borderId="0" xfId="0" applyFont="1" applyProtection="1">
      <protection hidden="1"/>
    </xf>
    <xf numFmtId="0" fontId="20" fillId="0" borderId="0" xfId="0" applyFont="1" applyAlignment="1" applyProtection="1">
      <alignment wrapText="1"/>
      <protection hidden="1"/>
    </xf>
    <xf numFmtId="0" fontId="20" fillId="5" borderId="0" xfId="0" applyFont="1" applyFill="1" applyAlignment="1" applyProtection="1">
      <alignment vertical="center"/>
      <protection locked="0" hidden="1"/>
    </xf>
    <xf numFmtId="0" fontId="20" fillId="5" borderId="0" xfId="0" applyFont="1" applyFill="1" applyAlignment="1" applyProtection="1">
      <alignment vertical="center"/>
      <protection locked="0"/>
    </xf>
    <xf numFmtId="0" fontId="114" fillId="5" borderId="0" xfId="0" applyFont="1" applyFill="1" applyAlignment="1" applyProtection="1">
      <alignment vertical="center"/>
      <protection hidden="1"/>
    </xf>
    <xf numFmtId="0" fontId="11" fillId="3" borderId="0" xfId="0" applyFont="1" applyFill="1" applyAlignment="1" applyProtection="1">
      <alignment vertical="center" wrapText="1"/>
      <protection hidden="1"/>
    </xf>
    <xf numFmtId="0" fontId="114" fillId="3" borderId="0" xfId="0" applyFont="1" applyFill="1" applyAlignment="1" applyProtection="1">
      <alignment vertical="center" wrapText="1"/>
      <protection hidden="1"/>
    </xf>
    <xf numFmtId="0" fontId="20" fillId="5" borderId="0" xfId="0" quotePrefix="1" applyFont="1" applyFill="1" applyAlignment="1" applyProtection="1">
      <alignment vertical="center"/>
      <protection hidden="1"/>
    </xf>
    <xf numFmtId="0" fontId="22" fillId="3" borderId="0" xfId="0" applyFont="1" applyFill="1" applyAlignment="1" applyProtection="1">
      <alignment horizontal="left" vertical="center" wrapText="1"/>
      <protection hidden="1"/>
    </xf>
    <xf numFmtId="0" fontId="0" fillId="0" borderId="0" xfId="0" applyAlignment="1"/>
    <xf numFmtId="0" fontId="79" fillId="8" borderId="18" xfId="7" applyFont="1" applyFill="1" applyBorder="1" applyAlignment="1" applyProtection="1">
      <alignment wrapText="1"/>
      <protection hidden="1"/>
    </xf>
    <xf numFmtId="0" fontId="29" fillId="3" borderId="7" xfId="7" applyFont="1" applyFill="1" applyBorder="1" applyProtection="1">
      <protection hidden="1"/>
    </xf>
    <xf numFmtId="0" fontId="29" fillId="3" borderId="0" xfId="7" applyFont="1" applyFill="1" applyProtection="1">
      <protection locked="0" hidden="1"/>
    </xf>
    <xf numFmtId="0" fontId="28" fillId="3" borderId="0" xfId="7" applyFont="1" applyFill="1" applyProtection="1">
      <protection locked="0" hidden="1"/>
    </xf>
    <xf numFmtId="0" fontId="29" fillId="3" borderId="0" xfId="7" applyFont="1" applyFill="1" applyProtection="1">
      <protection hidden="1"/>
    </xf>
    <xf numFmtId="0" fontId="29" fillId="3" borderId="0" xfId="7" applyFont="1" applyFill="1" applyBorder="1" applyProtection="1">
      <protection hidden="1"/>
    </xf>
    <xf numFmtId="0" fontId="80" fillId="3" borderId="10" xfId="7" applyFont="1" applyFill="1" applyBorder="1" applyAlignment="1" applyProtection="1">
      <alignment horizontal="right"/>
      <protection hidden="1"/>
    </xf>
    <xf numFmtId="0" fontId="29" fillId="3" borderId="0" xfId="7" applyFont="1" applyFill="1" applyBorder="1" applyAlignment="1" applyProtection="1">
      <protection hidden="1"/>
    </xf>
    <xf numFmtId="0" fontId="29" fillId="3" borderId="0" xfId="7" applyFont="1" applyFill="1" applyBorder="1" applyAlignment="1" applyProtection="1">
      <alignment horizontal="right"/>
      <protection hidden="1"/>
    </xf>
    <xf numFmtId="0" fontId="29" fillId="3" borderId="9" xfId="7" applyFont="1" applyFill="1" applyBorder="1" applyProtection="1">
      <protection hidden="1"/>
    </xf>
    <xf numFmtId="0" fontId="57" fillId="3" borderId="66" xfId="7" applyFont="1" applyFill="1" applyBorder="1" applyAlignment="1" applyProtection="1">
      <alignment horizontal="center"/>
      <protection hidden="1"/>
    </xf>
    <xf numFmtId="0" fontId="28" fillId="3" borderId="67" xfId="7" applyFont="1" applyFill="1" applyBorder="1" applyAlignment="1" applyProtection="1">
      <alignment wrapText="1"/>
      <protection hidden="1"/>
    </xf>
    <xf numFmtId="0" fontId="57" fillId="3" borderId="10" xfId="7" applyFont="1" applyFill="1" applyBorder="1" applyProtection="1">
      <protection hidden="1"/>
    </xf>
    <xf numFmtId="0" fontId="81" fillId="3" borderId="6" xfId="7" applyFont="1" applyFill="1" applyBorder="1" applyAlignment="1" applyProtection="1">
      <alignment horizontal="right" wrapText="1"/>
      <protection hidden="1"/>
    </xf>
    <xf numFmtId="0" fontId="81" fillId="3" borderId="0" xfId="7" applyFont="1" applyFill="1" applyBorder="1" applyProtection="1">
      <protection hidden="1"/>
    </xf>
    <xf numFmtId="0" fontId="28" fillId="3" borderId="19" xfId="7" applyFont="1" applyFill="1" applyBorder="1" applyProtection="1">
      <protection hidden="1"/>
    </xf>
    <xf numFmtId="0" fontId="28" fillId="3" borderId="11" xfId="7" applyFont="1" applyFill="1" applyBorder="1" applyProtection="1">
      <protection hidden="1"/>
    </xf>
    <xf numFmtId="0" fontId="29" fillId="3" borderId="5" xfId="7" applyFont="1" applyFill="1" applyBorder="1" applyProtection="1">
      <protection locked="0" hidden="1"/>
    </xf>
    <xf numFmtId="0" fontId="29" fillId="3" borderId="0" xfId="7" applyFont="1" applyFill="1" applyBorder="1" applyProtection="1">
      <protection locked="0" hidden="1"/>
    </xf>
    <xf numFmtId="0" fontId="29" fillId="3" borderId="5" xfId="7" applyFont="1" applyFill="1" applyBorder="1" applyProtection="1">
      <protection hidden="1"/>
    </xf>
    <xf numFmtId="0" fontId="80" fillId="3" borderId="21" xfId="7" applyFont="1" applyFill="1" applyBorder="1" applyAlignment="1" applyProtection="1">
      <alignment horizontal="left"/>
      <protection hidden="1"/>
    </xf>
    <xf numFmtId="0" fontId="81" fillId="3" borderId="22" xfId="7" applyFont="1" applyFill="1" applyBorder="1" applyAlignment="1" applyProtection="1">
      <alignment horizontal="left" wrapText="1"/>
      <protection hidden="1"/>
    </xf>
    <xf numFmtId="17" fontId="57" fillId="3" borderId="22" xfId="7" applyNumberFormat="1" applyFont="1" applyFill="1" applyBorder="1" applyAlignment="1" applyProtection="1">
      <alignment vertical="center" wrapText="1"/>
      <protection hidden="1"/>
    </xf>
    <xf numFmtId="0" fontId="28" fillId="3" borderId="22" xfId="7" applyFont="1" applyFill="1" applyBorder="1" applyAlignment="1" applyProtection="1">
      <alignment wrapText="1"/>
      <protection hidden="1"/>
    </xf>
    <xf numFmtId="0" fontId="57" fillId="3" borderId="69" xfId="7" quotePrefix="1" applyFont="1" applyFill="1" applyBorder="1" applyAlignment="1" applyProtection="1">
      <alignment horizontal="left"/>
      <protection hidden="1"/>
    </xf>
    <xf numFmtId="0" fontId="81" fillId="3" borderId="70" xfId="7" applyFont="1" applyFill="1" applyBorder="1" applyAlignment="1" applyProtection="1">
      <alignment horizontal="left" wrapText="1"/>
      <protection hidden="1"/>
    </xf>
    <xf numFmtId="0" fontId="81" fillId="3" borderId="71" xfId="7" applyFont="1" applyFill="1" applyBorder="1" applyAlignment="1" applyProtection="1">
      <alignment horizontal="left" wrapText="1"/>
      <protection hidden="1"/>
    </xf>
    <xf numFmtId="0" fontId="57" fillId="3" borderId="1" xfId="7" applyFont="1" applyFill="1" applyBorder="1" applyAlignment="1" applyProtection="1">
      <alignment horizontal="center" wrapText="1"/>
      <protection locked="0" hidden="1"/>
    </xf>
    <xf numFmtId="17" fontId="32" fillId="3" borderId="72" xfId="7" applyNumberFormat="1" applyFont="1" applyFill="1" applyBorder="1" applyAlignment="1" applyProtection="1">
      <alignment vertical="center"/>
      <protection hidden="1"/>
    </xf>
    <xf numFmtId="0" fontId="28" fillId="3" borderId="70" xfId="7" applyFont="1" applyFill="1" applyBorder="1" applyAlignment="1" applyProtection="1">
      <alignment wrapText="1"/>
      <protection hidden="1"/>
    </xf>
    <xf numFmtId="0" fontId="28" fillId="3" borderId="73" xfId="7" applyFont="1" applyFill="1" applyBorder="1" applyAlignment="1" applyProtection="1">
      <alignment wrapText="1"/>
      <protection hidden="1"/>
    </xf>
    <xf numFmtId="0" fontId="57" fillId="3" borderId="74" xfId="7" quotePrefix="1" applyFont="1" applyFill="1" applyBorder="1" applyAlignment="1" applyProtection="1">
      <alignment horizontal="left"/>
      <protection hidden="1"/>
    </xf>
    <xf numFmtId="0" fontId="81" fillId="3" borderId="75" xfId="7" applyFont="1" applyFill="1" applyBorder="1" applyAlignment="1" applyProtection="1">
      <alignment horizontal="left" wrapText="1"/>
      <protection hidden="1"/>
    </xf>
    <xf numFmtId="0" fontId="81" fillId="3" borderId="76" xfId="7" applyFont="1" applyFill="1" applyBorder="1" applyAlignment="1" applyProtection="1">
      <alignment horizontal="left" wrapText="1"/>
      <protection hidden="1"/>
    </xf>
    <xf numFmtId="17" fontId="32" fillId="3" borderId="77" xfId="7" applyNumberFormat="1" applyFont="1" applyFill="1" applyBorder="1" applyAlignment="1" applyProtection="1">
      <alignment vertical="center"/>
      <protection hidden="1"/>
    </xf>
    <xf numFmtId="0" fontId="28" fillId="3" borderId="75" xfId="7" applyFont="1" applyFill="1" applyBorder="1" applyAlignment="1" applyProtection="1">
      <alignment wrapText="1"/>
      <protection hidden="1"/>
    </xf>
    <xf numFmtId="0" fontId="28" fillId="3" borderId="78" xfId="7" applyFont="1" applyFill="1" applyBorder="1" applyAlignment="1" applyProtection="1">
      <alignment wrapText="1"/>
      <protection hidden="1"/>
    </xf>
    <xf numFmtId="0" fontId="28" fillId="3" borderId="79" xfId="7" applyFont="1" applyFill="1" applyBorder="1" applyAlignment="1" applyProtection="1">
      <alignment wrapText="1"/>
      <protection hidden="1"/>
    </xf>
    <xf numFmtId="0" fontId="80" fillId="3" borderId="80" xfId="7" quotePrefix="1" applyFont="1" applyFill="1" applyBorder="1" applyAlignment="1" applyProtection="1">
      <alignment horizontal="left"/>
      <protection hidden="1"/>
    </xf>
    <xf numFmtId="0" fontId="81" fillId="3" borderId="81" xfId="7" applyFont="1" applyFill="1" applyBorder="1" applyAlignment="1" applyProtection="1">
      <alignment horizontal="left" wrapText="1"/>
      <protection hidden="1"/>
    </xf>
    <xf numFmtId="0" fontId="29" fillId="3" borderId="81" xfId="7" applyFont="1" applyFill="1" applyBorder="1" applyProtection="1">
      <protection hidden="1"/>
    </xf>
    <xf numFmtId="0" fontId="81" fillId="3" borderId="82" xfId="7" applyFont="1" applyFill="1" applyBorder="1" applyAlignment="1" applyProtection="1">
      <alignment horizontal="left" wrapText="1"/>
      <protection hidden="1"/>
    </xf>
    <xf numFmtId="17" fontId="82" fillId="3" borderId="83" xfId="7" applyNumberFormat="1" applyFont="1" applyFill="1" applyBorder="1" applyAlignment="1" applyProtection="1">
      <alignment vertical="center"/>
      <protection hidden="1"/>
    </xf>
    <xf numFmtId="0" fontId="28" fillId="3" borderId="81" xfId="7" applyFont="1" applyFill="1" applyBorder="1" applyAlignment="1" applyProtection="1">
      <alignment wrapText="1"/>
      <protection hidden="1"/>
    </xf>
    <xf numFmtId="0" fontId="57" fillId="3" borderId="84" xfId="7" applyFont="1" applyFill="1" applyBorder="1" applyAlignment="1" applyProtection="1">
      <alignment horizontal="left"/>
      <protection hidden="1"/>
    </xf>
    <xf numFmtId="0" fontId="80" fillId="3" borderId="21" xfId="7" quotePrefix="1" applyFont="1" applyFill="1" applyBorder="1" applyAlignment="1" applyProtection="1">
      <alignment horizontal="left"/>
      <protection hidden="1"/>
    </xf>
    <xf numFmtId="0" fontId="29" fillId="3" borderId="22" xfId="7" applyFont="1" applyFill="1" applyBorder="1" applyProtection="1">
      <protection hidden="1"/>
    </xf>
    <xf numFmtId="0" fontId="81" fillId="3" borderId="85" xfId="7" applyFont="1" applyFill="1" applyBorder="1" applyAlignment="1" applyProtection="1">
      <alignment horizontal="left" wrapText="1"/>
      <protection hidden="1"/>
    </xf>
    <xf numFmtId="17" fontId="82" fillId="3" borderId="86" xfId="7" applyNumberFormat="1" applyFont="1" applyFill="1" applyBorder="1" applyAlignment="1" applyProtection="1">
      <alignment vertical="center"/>
      <protection hidden="1"/>
    </xf>
    <xf numFmtId="0" fontId="57" fillId="3" borderId="23" xfId="7" applyFont="1" applyFill="1" applyBorder="1" applyAlignment="1" applyProtection="1">
      <alignment horizontal="left"/>
      <protection hidden="1"/>
    </xf>
    <xf numFmtId="0" fontId="80" fillId="3" borderId="24" xfId="7" quotePrefix="1" applyFont="1" applyFill="1" applyBorder="1" applyAlignment="1" applyProtection="1">
      <alignment horizontal="left"/>
      <protection hidden="1"/>
    </xf>
    <xf numFmtId="0" fontId="81" fillId="3" borderId="8" xfId="7" applyFont="1" applyFill="1" applyBorder="1" applyAlignment="1" applyProtection="1">
      <alignment horizontal="left" wrapText="1"/>
      <protection hidden="1"/>
    </xf>
    <xf numFmtId="0" fontId="29" fillId="3" borderId="8" xfId="7" applyFont="1" applyFill="1" applyBorder="1" applyProtection="1">
      <protection hidden="1"/>
    </xf>
    <xf numFmtId="0" fontId="81" fillId="3" borderId="25" xfId="7" applyFont="1" applyFill="1" applyBorder="1" applyAlignment="1" applyProtection="1">
      <alignment horizontal="left" wrapText="1"/>
      <protection hidden="1"/>
    </xf>
    <xf numFmtId="17" fontId="82" fillId="3" borderId="26" xfId="7" applyNumberFormat="1" applyFont="1" applyFill="1" applyBorder="1" applyAlignment="1" applyProtection="1">
      <alignment vertical="center"/>
      <protection hidden="1"/>
    </xf>
    <xf numFmtId="0" fontId="28" fillId="3" borderId="8" xfId="7" applyFont="1" applyFill="1" applyBorder="1" applyAlignment="1" applyProtection="1">
      <alignment wrapText="1"/>
      <protection hidden="1"/>
    </xf>
    <xf numFmtId="0" fontId="57" fillId="3" borderId="27" xfId="7" applyFont="1" applyFill="1" applyBorder="1" applyAlignment="1" applyProtection="1">
      <alignment horizontal="left"/>
      <protection hidden="1"/>
    </xf>
    <xf numFmtId="0" fontId="80" fillId="3" borderId="68" xfId="7" quotePrefix="1" applyFont="1" applyFill="1" applyBorder="1" applyAlignment="1" applyProtection="1">
      <alignment horizontal="left"/>
      <protection hidden="1"/>
    </xf>
    <xf numFmtId="0" fontId="81" fillId="3" borderId="5" xfId="7" applyFont="1" applyFill="1" applyBorder="1" applyAlignment="1" applyProtection="1">
      <alignment horizontal="left" wrapText="1"/>
      <protection hidden="1"/>
    </xf>
    <xf numFmtId="0" fontId="81" fillId="3" borderId="6" xfId="7" applyFont="1" applyFill="1" applyBorder="1" applyAlignment="1" applyProtection="1">
      <alignment horizontal="left" wrapText="1"/>
      <protection hidden="1"/>
    </xf>
    <xf numFmtId="0" fontId="28" fillId="3" borderId="5" xfId="7" applyFont="1" applyFill="1" applyBorder="1" applyAlignment="1" applyProtection="1">
      <alignment wrapText="1"/>
      <protection hidden="1"/>
    </xf>
    <xf numFmtId="0" fontId="28" fillId="3" borderId="87" xfId="7" applyFont="1" applyFill="1" applyBorder="1" applyAlignment="1" applyProtection="1">
      <alignment wrapText="1"/>
      <protection hidden="1"/>
    </xf>
    <xf numFmtId="0" fontId="80" fillId="3" borderId="74" xfId="7" quotePrefix="1" applyFont="1" applyFill="1" applyBorder="1" applyAlignment="1" applyProtection="1">
      <alignment horizontal="left"/>
      <protection hidden="1"/>
    </xf>
    <xf numFmtId="17" fontId="82" fillId="3" borderId="77" xfId="7" applyNumberFormat="1" applyFont="1" applyFill="1" applyBorder="1" applyAlignment="1" applyProtection="1">
      <alignment vertical="center"/>
      <protection hidden="1"/>
    </xf>
    <xf numFmtId="0" fontId="28" fillId="3" borderId="21" xfId="7" applyFont="1" applyFill="1" applyBorder="1" applyProtection="1">
      <protection hidden="1"/>
    </xf>
    <xf numFmtId="0" fontId="28" fillId="3" borderId="22" xfId="7" applyFont="1" applyFill="1" applyBorder="1" applyProtection="1">
      <protection hidden="1"/>
    </xf>
    <xf numFmtId="0" fontId="28" fillId="3" borderId="23" xfId="7" applyFont="1" applyFill="1" applyBorder="1" applyProtection="1">
      <protection hidden="1"/>
    </xf>
    <xf numFmtId="0" fontId="29" fillId="3" borderId="5" xfId="7" applyFont="1" applyFill="1" applyBorder="1" applyAlignment="1" applyProtection="1">
      <alignment vertical="center"/>
      <protection locked="0" hidden="1"/>
    </xf>
    <xf numFmtId="0" fontId="28" fillId="3" borderId="12" xfId="7" applyFont="1" applyFill="1" applyBorder="1" applyAlignment="1" applyProtection="1">
      <alignment vertical="top" wrapText="1"/>
      <protection hidden="1"/>
    </xf>
    <xf numFmtId="0" fontId="28" fillId="3" borderId="13" xfId="7" applyFont="1" applyFill="1" applyBorder="1" applyAlignment="1" applyProtection="1">
      <alignment vertical="top" wrapText="1"/>
      <protection hidden="1"/>
    </xf>
    <xf numFmtId="0" fontId="28" fillId="3" borderId="14" xfId="7" applyFont="1" applyFill="1" applyBorder="1" applyAlignment="1" applyProtection="1">
      <alignment vertical="top" wrapText="1"/>
      <protection hidden="1"/>
    </xf>
    <xf numFmtId="0" fontId="32" fillId="3" borderId="10" xfId="7" applyFont="1" applyFill="1" applyBorder="1" applyAlignment="1" applyProtection="1">
      <alignment horizontal="left" vertical="center"/>
      <protection hidden="1"/>
    </xf>
    <xf numFmtId="0" fontId="28" fillId="3" borderId="0" xfId="7" applyFont="1" applyFill="1" applyBorder="1" applyAlignment="1" applyProtection="1">
      <protection hidden="1"/>
    </xf>
    <xf numFmtId="173" fontId="57" fillId="3" borderId="31" xfId="7" applyNumberFormat="1" applyFont="1" applyFill="1" applyBorder="1" applyAlignment="1" applyProtection="1">
      <alignment horizontal="center" vertical="center"/>
      <protection locked="0" hidden="1"/>
    </xf>
    <xf numFmtId="0" fontId="28" fillId="3" borderId="9" xfId="7" applyFont="1" applyFill="1" applyBorder="1" applyAlignment="1" applyProtection="1">
      <protection hidden="1"/>
    </xf>
    <xf numFmtId="0" fontId="28" fillId="3" borderId="10" xfId="7" applyFont="1" applyFill="1" applyBorder="1" applyProtection="1">
      <protection hidden="1"/>
    </xf>
    <xf numFmtId="0" fontId="28" fillId="3" borderId="0" xfId="7" applyFont="1" applyFill="1" applyBorder="1" applyProtection="1">
      <protection hidden="1"/>
    </xf>
    <xf numFmtId="0" fontId="28" fillId="3" borderId="9" xfId="7" applyFont="1" applyFill="1" applyBorder="1" applyProtection="1">
      <protection hidden="1"/>
    </xf>
    <xf numFmtId="1" fontId="57" fillId="3" borderId="31" xfId="8" applyNumberFormat="1" applyFont="1" applyFill="1" applyBorder="1" applyAlignment="1" applyProtection="1">
      <alignment horizontal="center" vertical="center"/>
      <protection locked="0" hidden="1"/>
    </xf>
    <xf numFmtId="3" fontId="32" fillId="3" borderId="0" xfId="7" applyNumberFormat="1" applyFont="1" applyFill="1" applyBorder="1" applyAlignment="1" applyProtection="1">
      <alignment horizontal="left" vertical="center"/>
      <protection hidden="1"/>
    </xf>
    <xf numFmtId="0" fontId="29" fillId="3" borderId="9" xfId="7" applyFont="1" applyFill="1" applyBorder="1" applyAlignment="1" applyProtection="1">
      <protection hidden="1"/>
    </xf>
    <xf numFmtId="0" fontId="29" fillId="3" borderId="7" xfId="7" applyFont="1" applyFill="1" applyBorder="1" applyAlignment="1" applyProtection="1">
      <alignment vertical="center"/>
      <protection hidden="1"/>
    </xf>
    <xf numFmtId="0" fontId="28" fillId="3" borderId="0" xfId="7" applyFont="1" applyFill="1" applyBorder="1" applyAlignment="1" applyProtection="1">
      <protection locked="0" hidden="1"/>
    </xf>
    <xf numFmtId="0" fontId="29" fillId="3" borderId="0" xfId="7" applyFont="1" applyFill="1" applyBorder="1" applyAlignment="1" applyProtection="1">
      <alignment vertical="center"/>
      <protection locked="0" hidden="1"/>
    </xf>
    <xf numFmtId="0" fontId="28" fillId="3" borderId="0" xfId="7" applyFont="1" applyFill="1" applyBorder="1" applyProtection="1">
      <protection locked="0" hidden="1"/>
    </xf>
    <xf numFmtId="0" fontId="29" fillId="3" borderId="5" xfId="7" applyFont="1" applyFill="1" applyBorder="1" applyAlignment="1" applyProtection="1">
      <alignment vertical="center"/>
      <protection hidden="1"/>
    </xf>
    <xf numFmtId="0" fontId="29" fillId="3" borderId="10" xfId="7" applyFont="1" applyFill="1" applyBorder="1" applyProtection="1">
      <protection hidden="1"/>
    </xf>
    <xf numFmtId="170" fontId="29" fillId="3" borderId="0" xfId="3" applyNumberFormat="1" applyFont="1" applyFill="1" applyBorder="1" applyAlignment="1" applyProtection="1">
      <protection hidden="1"/>
    </xf>
    <xf numFmtId="0" fontId="29" fillId="3" borderId="0" xfId="7" applyFont="1" applyFill="1" applyBorder="1" applyAlignment="1" applyProtection="1">
      <alignment vertical="center"/>
      <protection hidden="1"/>
    </xf>
    <xf numFmtId="0" fontId="84" fillId="3" borderId="10" xfId="7" applyFont="1" applyFill="1" applyBorder="1" applyAlignment="1" applyProtection="1">
      <alignment wrapText="1"/>
      <protection hidden="1"/>
    </xf>
    <xf numFmtId="0" fontId="79" fillId="3" borderId="0" xfId="7" applyFont="1" applyFill="1" applyBorder="1" applyAlignment="1" applyProtection="1">
      <alignment wrapText="1"/>
      <protection hidden="1"/>
    </xf>
    <xf numFmtId="0" fontId="84" fillId="3" borderId="0" xfId="7" applyFont="1" applyFill="1" applyBorder="1" applyAlignment="1" applyProtection="1">
      <alignment wrapText="1"/>
      <protection hidden="1"/>
    </xf>
    <xf numFmtId="0" fontId="85" fillId="3" borderId="0" xfId="7" applyFont="1" applyFill="1" applyBorder="1" applyAlignment="1" applyProtection="1">
      <alignment vertical="top"/>
      <protection hidden="1"/>
    </xf>
    <xf numFmtId="0" fontId="28" fillId="3" borderId="0" xfId="7" applyFont="1" applyFill="1" applyBorder="1" applyAlignment="1" applyProtection="1">
      <alignment wrapText="1"/>
      <protection hidden="1"/>
    </xf>
    <xf numFmtId="0" fontId="29" fillId="3" borderId="0" xfId="7" applyFont="1" applyFill="1" applyBorder="1" applyAlignment="1" applyProtection="1">
      <alignment horizontal="right" vertical="center"/>
      <protection hidden="1"/>
    </xf>
    <xf numFmtId="0" fontId="28" fillId="3" borderId="0" xfId="7" applyFont="1" applyFill="1" applyBorder="1" applyAlignment="1" applyProtection="1">
      <alignment vertical="top" wrapText="1"/>
      <protection hidden="1"/>
    </xf>
    <xf numFmtId="0" fontId="32" fillId="3" borderId="0" xfId="7" applyFont="1" applyFill="1" applyBorder="1" applyAlignment="1" applyProtection="1">
      <alignment horizontal="left" vertical="center"/>
      <protection hidden="1"/>
    </xf>
    <xf numFmtId="0" fontId="29" fillId="3" borderId="0" xfId="7" applyFont="1" applyFill="1" applyBorder="1" applyAlignment="1" applyProtection="1">
      <alignment horizontal="center" wrapText="1"/>
      <protection hidden="1"/>
    </xf>
    <xf numFmtId="0" fontId="28" fillId="3" borderId="9" xfId="7" applyFont="1" applyFill="1" applyBorder="1" applyAlignment="1" applyProtection="1">
      <alignment vertical="top" wrapText="1"/>
      <protection hidden="1"/>
    </xf>
    <xf numFmtId="0" fontId="28" fillId="3" borderId="28" xfId="7" applyFont="1" applyFill="1" applyBorder="1" applyProtection="1">
      <protection hidden="1"/>
    </xf>
    <xf numFmtId="0" fontId="28" fillId="3" borderId="29" xfId="7" applyFont="1" applyFill="1" applyBorder="1" applyProtection="1">
      <protection hidden="1"/>
    </xf>
    <xf numFmtId="0" fontId="28" fillId="3" borderId="30" xfId="7" applyFont="1" applyFill="1" applyBorder="1" applyProtection="1">
      <protection hidden="1"/>
    </xf>
    <xf numFmtId="0" fontId="28" fillId="3" borderId="7" xfId="7" applyFont="1" applyFill="1" applyBorder="1" applyProtection="1">
      <protection hidden="1"/>
    </xf>
    <xf numFmtId="0" fontId="76" fillId="3" borderId="13" xfId="7" applyFont="1" applyFill="1" applyBorder="1" applyAlignment="1" applyProtection="1">
      <alignment wrapText="1"/>
      <protection hidden="1"/>
    </xf>
    <xf numFmtId="0" fontId="76" fillId="3" borderId="14" xfId="7" applyFont="1" applyFill="1" applyBorder="1" applyAlignment="1" applyProtection="1">
      <alignment wrapText="1"/>
      <protection hidden="1"/>
    </xf>
    <xf numFmtId="0" fontId="76" fillId="3" borderId="0" xfId="7" applyFont="1" applyFill="1" applyBorder="1" applyAlignment="1" applyProtection="1">
      <alignment wrapText="1"/>
      <protection hidden="1"/>
    </xf>
    <xf numFmtId="0" fontId="76" fillId="3" borderId="9" xfId="7" applyFont="1" applyFill="1" applyBorder="1" applyAlignment="1" applyProtection="1">
      <alignment wrapText="1"/>
      <protection hidden="1"/>
    </xf>
    <xf numFmtId="0" fontId="28" fillId="3" borderId="0" xfId="7" applyFont="1" applyFill="1" applyProtection="1">
      <protection hidden="1"/>
    </xf>
    <xf numFmtId="0" fontId="28" fillId="3" borderId="10" xfId="7" applyFont="1" applyFill="1" applyBorder="1" applyAlignment="1" applyProtection="1">
      <alignment vertical="top" wrapText="1"/>
      <protection hidden="1"/>
    </xf>
    <xf numFmtId="0" fontId="87" fillId="3" borderId="10" xfId="7" applyFont="1" applyFill="1" applyBorder="1" applyAlignment="1" applyProtection="1">
      <alignment horizontal="left"/>
      <protection hidden="1"/>
    </xf>
    <xf numFmtId="0" fontId="84" fillId="3" borderId="9" xfId="7" applyFont="1" applyFill="1" applyBorder="1" applyAlignment="1" applyProtection="1">
      <alignment horizontal="center" vertical="center" wrapText="1"/>
      <protection hidden="1"/>
    </xf>
    <xf numFmtId="0" fontId="29" fillId="3" borderId="0" xfId="7" applyFont="1" applyFill="1" applyBorder="1" applyAlignment="1" applyProtection="1">
      <alignment horizontal="center"/>
      <protection hidden="1"/>
    </xf>
    <xf numFmtId="0" fontId="29" fillId="3" borderId="0" xfId="3" applyNumberFormat="1" applyFont="1" applyFill="1" applyBorder="1" applyAlignment="1" applyProtection="1">
      <alignment horizontal="center"/>
      <protection hidden="1"/>
    </xf>
    <xf numFmtId="0" fontId="28" fillId="3" borderId="7" xfId="7" applyFont="1" applyFill="1" applyBorder="1" applyAlignment="1" applyProtection="1">
      <protection hidden="1"/>
    </xf>
    <xf numFmtId="0" fontId="84" fillId="3" borderId="0" xfId="7" applyFont="1" applyFill="1" applyBorder="1" applyProtection="1">
      <protection hidden="1"/>
    </xf>
    <xf numFmtId="175" fontId="79" fillId="3" borderId="0" xfId="7" applyNumberFormat="1" applyFont="1" applyFill="1" applyBorder="1" applyAlignment="1" applyProtection="1">
      <alignment horizontal="center"/>
      <protection hidden="1"/>
    </xf>
    <xf numFmtId="0" fontId="89" fillId="3" borderId="0" xfId="7" applyFont="1" applyFill="1" applyBorder="1" applyAlignment="1" applyProtection="1">
      <alignment horizontal="center" wrapText="1"/>
      <protection hidden="1"/>
    </xf>
    <xf numFmtId="0" fontId="32" fillId="3" borderId="10" xfId="7" applyFont="1" applyFill="1" applyBorder="1" applyAlignment="1" applyProtection="1">
      <alignment horizontal="right"/>
      <protection hidden="1"/>
    </xf>
    <xf numFmtId="168" fontId="57" fillId="3" borderId="31" xfId="3" applyNumberFormat="1" applyFont="1" applyFill="1" applyBorder="1" applyAlignment="1" applyProtection="1">
      <alignment vertical="center"/>
      <protection locked="0" hidden="1"/>
    </xf>
    <xf numFmtId="168" fontId="28" fillId="3" borderId="0" xfId="7" applyNumberFormat="1" applyFont="1" applyFill="1" applyBorder="1" applyAlignment="1" applyProtection="1">
      <alignment vertical="center"/>
      <protection hidden="1"/>
    </xf>
    <xf numFmtId="0" fontId="28" fillId="3" borderId="0" xfId="7" applyFont="1" applyFill="1" applyBorder="1" applyAlignment="1" applyProtection="1">
      <alignment horizontal="right"/>
      <protection hidden="1"/>
    </xf>
    <xf numFmtId="173" fontId="28" fillId="3" borderId="0" xfId="7" applyNumberFormat="1" applyFont="1" applyFill="1" applyBorder="1" applyProtection="1">
      <protection hidden="1"/>
    </xf>
    <xf numFmtId="173" fontId="28" fillId="3" borderId="0" xfId="7" applyNumberFormat="1" applyFont="1" applyFill="1" applyBorder="1" applyAlignment="1" applyProtection="1">
      <alignment horizontal="right"/>
      <protection hidden="1"/>
    </xf>
    <xf numFmtId="0" fontId="82" fillId="3" borderId="0" xfId="7" applyFont="1" applyFill="1" applyBorder="1" applyProtection="1">
      <protection hidden="1"/>
    </xf>
    <xf numFmtId="9" fontId="29" fillId="3" borderId="31" xfId="8" applyNumberFormat="1" applyFont="1" applyFill="1" applyBorder="1" applyAlignment="1" applyProtection="1">
      <alignment horizontal="right"/>
      <protection hidden="1"/>
    </xf>
    <xf numFmtId="0" fontId="29" fillId="3" borderId="0" xfId="7" quotePrefix="1" applyFont="1" applyFill="1" applyBorder="1" applyProtection="1">
      <protection hidden="1"/>
    </xf>
    <xf numFmtId="0" fontId="29" fillId="3" borderId="10" xfId="7" quotePrefix="1" applyFont="1" applyFill="1" applyBorder="1" applyProtection="1">
      <protection hidden="1"/>
    </xf>
    <xf numFmtId="0" fontId="29" fillId="3" borderId="0" xfId="7" quotePrefix="1" applyFont="1" applyFill="1" applyBorder="1" applyAlignment="1" applyProtection="1">
      <alignment horizontal="right"/>
      <protection hidden="1"/>
    </xf>
    <xf numFmtId="170" fontId="29" fillId="3" borderId="32" xfId="3" applyNumberFormat="1" applyFont="1" applyFill="1" applyBorder="1" applyProtection="1">
      <protection hidden="1"/>
    </xf>
    <xf numFmtId="170" fontId="79" fillId="3" borderId="0" xfId="7" applyNumberFormat="1" applyFont="1" applyFill="1" applyBorder="1" applyProtection="1">
      <protection hidden="1"/>
    </xf>
    <xf numFmtId="0" fontId="29" fillId="3" borderId="10" xfId="7" applyFont="1" applyFill="1" applyBorder="1" applyAlignment="1" applyProtection="1">
      <alignment horizontal="left"/>
      <protection hidden="1"/>
    </xf>
    <xf numFmtId="0" fontId="28" fillId="3" borderId="0" xfId="7" applyFont="1" applyFill="1" applyBorder="1" applyAlignment="1" applyProtection="1">
      <alignment horizontal="left"/>
      <protection hidden="1"/>
    </xf>
    <xf numFmtId="0" fontId="84" fillId="3" borderId="10" xfId="7" applyFont="1" applyFill="1" applyBorder="1" applyProtection="1">
      <protection hidden="1"/>
    </xf>
    <xf numFmtId="0" fontId="84" fillId="3" borderId="0" xfId="7" applyFont="1" applyFill="1" applyBorder="1" applyAlignment="1" applyProtection="1">
      <alignment horizontal="right"/>
      <protection hidden="1"/>
    </xf>
    <xf numFmtId="0" fontId="32" fillId="3" borderId="10" xfId="7" applyFont="1" applyFill="1" applyBorder="1" applyProtection="1">
      <protection hidden="1"/>
    </xf>
    <xf numFmtId="0" fontId="32" fillId="3" borderId="0" xfId="7" applyFont="1" applyFill="1" applyBorder="1" applyProtection="1">
      <protection hidden="1"/>
    </xf>
    <xf numFmtId="0" fontId="32" fillId="3" borderId="0" xfId="7" quotePrefix="1" applyFont="1" applyFill="1" applyBorder="1" applyAlignment="1" applyProtection="1">
      <alignment horizontal="right"/>
      <protection hidden="1"/>
    </xf>
    <xf numFmtId="0" fontId="29" fillId="3" borderId="28" xfId="7" applyFont="1" applyFill="1" applyBorder="1" applyProtection="1">
      <protection hidden="1"/>
    </xf>
    <xf numFmtId="0" fontId="29" fillId="3" borderId="29" xfId="7" applyFont="1" applyFill="1" applyBorder="1" applyProtection="1">
      <protection hidden="1"/>
    </xf>
    <xf numFmtId="0" fontId="29" fillId="3" borderId="29" xfId="7" quotePrefix="1" applyFont="1" applyFill="1" applyBorder="1" applyAlignment="1" applyProtection="1">
      <alignment horizontal="right"/>
      <protection hidden="1"/>
    </xf>
    <xf numFmtId="0" fontId="28" fillId="3" borderId="24" xfId="7" applyFont="1" applyFill="1" applyBorder="1" applyProtection="1">
      <protection hidden="1"/>
    </xf>
    <xf numFmtId="0" fontId="28" fillId="3" borderId="8" xfId="7" applyFont="1" applyFill="1" applyBorder="1" applyProtection="1">
      <protection hidden="1"/>
    </xf>
    <xf numFmtId="0" fontId="28" fillId="3" borderId="27" xfId="7" applyFont="1" applyFill="1" applyBorder="1" applyProtection="1">
      <protection hidden="1"/>
    </xf>
    <xf numFmtId="0" fontId="74" fillId="3" borderId="10" xfId="7" applyFont="1" applyFill="1" applyBorder="1" applyAlignment="1" applyProtection="1">
      <alignment horizontal="left" vertical="top" wrapText="1"/>
      <protection hidden="1"/>
    </xf>
    <xf numFmtId="0" fontId="74" fillId="3" borderId="0" xfId="7" applyFont="1" applyFill="1" applyBorder="1" applyAlignment="1" applyProtection="1">
      <alignment horizontal="left" vertical="top" wrapText="1"/>
      <protection hidden="1"/>
    </xf>
    <xf numFmtId="0" fontId="74" fillId="3" borderId="9" xfId="7" applyFont="1" applyFill="1" applyBorder="1" applyAlignment="1" applyProtection="1">
      <alignment horizontal="left" vertical="top" wrapText="1"/>
      <protection hidden="1"/>
    </xf>
    <xf numFmtId="170" fontId="57" fillId="3" borderId="31" xfId="3" applyNumberFormat="1" applyFont="1" applyFill="1" applyBorder="1" applyAlignment="1" applyProtection="1">
      <alignment horizontal="right"/>
      <protection locked="0" hidden="1"/>
    </xf>
    <xf numFmtId="0" fontId="91" fillId="3" borderId="10" xfId="7" applyFont="1" applyFill="1" applyBorder="1" applyAlignment="1" applyProtection="1">
      <alignment horizontal="left"/>
      <protection hidden="1"/>
    </xf>
    <xf numFmtId="0" fontId="29" fillId="3" borderId="0" xfId="7" applyFont="1" applyFill="1" applyBorder="1" applyAlignment="1" applyProtection="1">
      <alignment horizontal="right" wrapText="1"/>
      <protection hidden="1"/>
    </xf>
    <xf numFmtId="170" fontId="57" fillId="3" borderId="31" xfId="3" applyNumberFormat="1" applyFont="1" applyFill="1" applyBorder="1" applyProtection="1">
      <protection locked="0" hidden="1"/>
    </xf>
    <xf numFmtId="0" fontId="79" fillId="3" borderId="0" xfId="7" applyFont="1" applyFill="1" applyBorder="1" applyAlignment="1" applyProtection="1">
      <alignment horizontal="right"/>
      <protection hidden="1"/>
    </xf>
    <xf numFmtId="0" fontId="92" fillId="3" borderId="0" xfId="7" applyFont="1" applyFill="1" applyBorder="1" applyAlignment="1" applyProtection="1">
      <alignment horizontal="left"/>
      <protection hidden="1"/>
    </xf>
    <xf numFmtId="0" fontId="76" fillId="3" borderId="0" xfId="7" applyFont="1" applyFill="1" applyBorder="1" applyAlignment="1" applyProtection="1">
      <alignment horizontal="right"/>
      <protection hidden="1"/>
    </xf>
    <xf numFmtId="177" fontId="28" fillId="3" borderId="0" xfId="7" applyNumberFormat="1" applyFont="1" applyFill="1" applyBorder="1" applyProtection="1">
      <protection hidden="1"/>
    </xf>
    <xf numFmtId="176" fontId="28" fillId="3" borderId="0" xfId="7" applyNumberFormat="1" applyFont="1" applyFill="1" applyBorder="1" applyProtection="1">
      <protection hidden="1"/>
    </xf>
    <xf numFmtId="0" fontId="79" fillId="3" borderId="9" xfId="7" applyFont="1" applyFill="1" applyBorder="1" applyProtection="1">
      <protection hidden="1"/>
    </xf>
    <xf numFmtId="0" fontId="57" fillId="3" borderId="31" xfId="3" applyNumberFormat="1" applyFont="1" applyFill="1" applyBorder="1" applyAlignment="1" applyProtection="1">
      <alignment horizontal="right" vertical="center"/>
      <protection locked="0" hidden="1"/>
    </xf>
    <xf numFmtId="166" fontId="29" fillId="3" borderId="0" xfId="7" applyNumberFormat="1" applyFont="1" applyFill="1" applyBorder="1" applyProtection="1">
      <protection hidden="1"/>
    </xf>
    <xf numFmtId="10" fontId="57" fillId="3" borderId="31" xfId="8" applyNumberFormat="1" applyFont="1" applyFill="1" applyBorder="1" applyAlignment="1" applyProtection="1">
      <alignment horizontal="right" vertical="center"/>
      <protection locked="0" hidden="1"/>
    </xf>
    <xf numFmtId="0" fontId="29" fillId="3" borderId="0" xfId="7" applyFont="1" applyFill="1" applyBorder="1" applyAlignment="1" applyProtection="1">
      <alignment horizontal="left" vertical="center"/>
      <protection hidden="1"/>
    </xf>
    <xf numFmtId="0" fontId="76" fillId="3" borderId="0" xfId="7" applyFont="1" applyFill="1" applyBorder="1" applyAlignment="1" applyProtection="1">
      <alignment horizontal="left"/>
      <protection hidden="1"/>
    </xf>
    <xf numFmtId="0" fontId="32" fillId="3" borderId="0" xfId="7" applyFont="1" applyFill="1" applyBorder="1" applyAlignment="1" applyProtection="1">
      <alignment horizontal="left"/>
      <protection hidden="1"/>
    </xf>
    <xf numFmtId="0" fontId="76" fillId="3" borderId="9" xfId="7" applyFont="1" applyFill="1" applyBorder="1" applyAlignment="1" applyProtection="1">
      <alignment horizontal="right"/>
      <protection hidden="1"/>
    </xf>
    <xf numFmtId="0" fontId="76" fillId="3" borderId="0" xfId="7" applyFont="1" applyFill="1" applyBorder="1" applyAlignment="1" applyProtection="1">
      <alignment vertical="top"/>
      <protection hidden="1"/>
    </xf>
    <xf numFmtId="0" fontId="76" fillId="3" borderId="0" xfId="7" applyFont="1" applyFill="1" applyBorder="1" applyProtection="1">
      <protection hidden="1"/>
    </xf>
    <xf numFmtId="0" fontId="79" fillId="3" borderId="0" xfId="7" applyFont="1" applyFill="1" applyProtection="1">
      <protection locked="0" hidden="1"/>
    </xf>
    <xf numFmtId="0" fontId="29" fillId="3" borderId="10" xfId="7" applyFont="1" applyFill="1" applyBorder="1" applyAlignment="1" applyProtection="1">
      <alignment vertical="top"/>
      <protection hidden="1"/>
    </xf>
    <xf numFmtId="0" fontId="28" fillId="3" borderId="0" xfId="7" applyFont="1" applyFill="1" applyBorder="1" applyAlignment="1" applyProtection="1">
      <alignment vertical="top"/>
      <protection hidden="1"/>
    </xf>
    <xf numFmtId="0" fontId="90" fillId="8" borderId="17" xfId="7" applyFont="1" applyFill="1" applyBorder="1" applyAlignment="1" applyProtection="1">
      <alignment vertical="top"/>
      <protection hidden="1"/>
    </xf>
    <xf numFmtId="0" fontId="90" fillId="8" borderId="18" xfId="7" applyFont="1" applyFill="1" applyBorder="1" applyAlignment="1" applyProtection="1">
      <alignment vertical="top"/>
      <protection hidden="1"/>
    </xf>
    <xf numFmtId="0" fontId="28" fillId="3" borderId="9" xfId="7" applyFont="1" applyFill="1" applyBorder="1" applyAlignment="1" applyProtection="1">
      <alignment vertical="top"/>
      <protection hidden="1"/>
    </xf>
    <xf numFmtId="0" fontId="57" fillId="3" borderId="10" xfId="7" applyFont="1" applyFill="1" applyBorder="1" applyAlignment="1" applyProtection="1">
      <alignment vertical="center"/>
      <protection hidden="1"/>
    </xf>
    <xf numFmtId="0" fontId="57" fillId="3" borderId="0" xfId="7" quotePrefix="1" applyFont="1" applyFill="1" applyBorder="1" applyAlignment="1" applyProtection="1">
      <alignment vertical="center"/>
      <protection hidden="1"/>
    </xf>
    <xf numFmtId="0" fontId="57" fillId="3" borderId="9" xfId="7" quotePrefix="1" applyFont="1" applyFill="1" applyBorder="1" applyAlignment="1" applyProtection="1">
      <alignment vertical="center"/>
      <protection hidden="1"/>
    </xf>
    <xf numFmtId="0" fontId="93" fillId="3" borderId="0" xfId="7" applyFont="1" applyFill="1" applyBorder="1" applyAlignment="1" applyProtection="1">
      <alignment horizontal="center" vertical="center"/>
      <protection hidden="1"/>
    </xf>
    <xf numFmtId="0" fontId="33" fillId="3" borderId="0" xfId="7" applyFont="1" applyFill="1" applyBorder="1" applyAlignment="1" applyProtection="1">
      <alignment vertical="top" wrapText="1"/>
      <protection hidden="1"/>
    </xf>
    <xf numFmtId="0" fontId="33" fillId="3" borderId="22" xfId="7" applyFont="1" applyFill="1" applyBorder="1" applyAlignment="1" applyProtection="1">
      <alignment vertical="top" wrapText="1"/>
      <protection hidden="1"/>
    </xf>
    <xf numFmtId="0" fontId="79" fillId="3" borderId="7" xfId="7" applyFont="1" applyFill="1" applyBorder="1" applyProtection="1">
      <protection hidden="1"/>
    </xf>
    <xf numFmtId="0" fontId="79" fillId="3" borderId="0" xfId="7" applyFont="1" applyFill="1" applyProtection="1">
      <protection hidden="1"/>
    </xf>
    <xf numFmtId="0" fontId="79" fillId="3" borderId="0" xfId="7" applyFont="1" applyFill="1" applyBorder="1" applyProtection="1">
      <protection hidden="1"/>
    </xf>
    <xf numFmtId="0" fontId="28" fillId="3" borderId="0" xfId="7" applyFont="1" applyFill="1" applyAlignment="1" applyProtection="1">
      <alignment vertical="top"/>
      <protection locked="0" hidden="1"/>
    </xf>
    <xf numFmtId="0" fontId="39" fillId="3" borderId="10" xfId="7" applyFont="1" applyFill="1" applyBorder="1" applyAlignment="1" applyProtection="1">
      <alignment horizontal="left" vertical="center"/>
      <protection hidden="1"/>
    </xf>
    <xf numFmtId="3" fontId="32" fillId="3" borderId="31" xfId="7" applyNumberFormat="1" applyFont="1" applyFill="1" applyBorder="1" applyAlignment="1" applyProtection="1">
      <alignment horizontal="center" vertical="center"/>
      <protection hidden="1"/>
    </xf>
    <xf numFmtId="0" fontId="28" fillId="3" borderId="7" xfId="7" applyFont="1" applyFill="1" applyBorder="1" applyAlignment="1" applyProtection="1">
      <alignment vertical="top"/>
      <protection hidden="1"/>
    </xf>
    <xf numFmtId="0" fontId="28" fillId="3" borderId="0" xfId="7" applyFont="1" applyFill="1" applyAlignment="1" applyProtection="1">
      <alignment vertical="top"/>
      <protection hidden="1"/>
    </xf>
    <xf numFmtId="0" fontId="28" fillId="3" borderId="10" xfId="7" applyFont="1" applyFill="1" applyBorder="1" applyAlignment="1" applyProtection="1">
      <protection hidden="1"/>
    </xf>
    <xf numFmtId="0" fontId="79" fillId="3" borderId="18" xfId="7" applyFont="1" applyFill="1" applyBorder="1" applyAlignment="1" applyProtection="1">
      <alignment wrapText="1"/>
      <protection locked="0" hidden="1"/>
    </xf>
    <xf numFmtId="0" fontId="84" fillId="3" borderId="32" xfId="7" applyFont="1" applyFill="1" applyBorder="1" applyAlignment="1" applyProtection="1">
      <alignment wrapText="1"/>
      <protection locked="0" hidden="1"/>
    </xf>
    <xf numFmtId="0" fontId="95" fillId="3" borderId="0" xfId="7" applyFont="1" applyFill="1" applyBorder="1" applyProtection="1">
      <protection locked="0" hidden="1"/>
    </xf>
    <xf numFmtId="173" fontId="29" fillId="3" borderId="33" xfId="7" applyNumberFormat="1" applyFont="1" applyFill="1" applyBorder="1" applyAlignment="1" applyProtection="1">
      <alignment horizontal="right"/>
      <protection locked="0" hidden="1"/>
    </xf>
    <xf numFmtId="0" fontId="96" fillId="3" borderId="0" xfId="7" applyFont="1" applyFill="1" applyBorder="1" applyAlignment="1" applyProtection="1">
      <alignment horizontal="left"/>
      <protection locked="0" hidden="1"/>
    </xf>
    <xf numFmtId="173" fontId="29" fillId="3" borderId="34" xfId="7" applyNumberFormat="1" applyFont="1" applyFill="1" applyBorder="1" applyAlignment="1" applyProtection="1">
      <alignment horizontal="right"/>
      <protection locked="0" hidden="1"/>
    </xf>
    <xf numFmtId="0" fontId="79" fillId="3" borderId="17" xfId="7" applyFont="1" applyFill="1" applyBorder="1" applyAlignment="1" applyProtection="1">
      <alignment wrapText="1"/>
      <protection locked="0" hidden="1"/>
    </xf>
    <xf numFmtId="0" fontId="29" fillId="3" borderId="0" xfId="7" applyFont="1" applyFill="1" applyBorder="1" applyAlignment="1" applyProtection="1">
      <alignment horizontal="right"/>
      <protection locked="0" hidden="1"/>
    </xf>
    <xf numFmtId="0" fontId="29" fillId="3" borderId="0" xfId="7" applyFont="1" applyFill="1" applyBorder="1" applyAlignment="1" applyProtection="1">
      <alignment horizontal="left"/>
      <protection locked="0" hidden="1"/>
    </xf>
    <xf numFmtId="0" fontId="97" fillId="3" borderId="0" xfId="7" applyFont="1" applyFill="1" applyBorder="1" applyAlignment="1" applyProtection="1">
      <protection hidden="1"/>
    </xf>
    <xf numFmtId="3" fontId="38" fillId="3" borderId="31" xfId="7" applyNumberFormat="1" applyFont="1" applyFill="1" applyBorder="1" applyAlignment="1" applyProtection="1">
      <alignment horizontal="right" vertical="center"/>
      <protection hidden="1"/>
    </xf>
    <xf numFmtId="0" fontId="28" fillId="3" borderId="28" xfId="7" applyFont="1" applyFill="1" applyBorder="1" applyAlignment="1" applyProtection="1">
      <protection hidden="1"/>
    </xf>
    <xf numFmtId="0" fontId="28" fillId="3" borderId="29" xfId="7" applyFont="1" applyFill="1" applyBorder="1" applyAlignment="1" applyProtection="1">
      <protection hidden="1"/>
    </xf>
    <xf numFmtId="0" fontId="28" fillId="3" borderId="29" xfId="7" applyFont="1" applyFill="1" applyBorder="1" applyAlignment="1" applyProtection="1">
      <alignment horizontal="right"/>
      <protection hidden="1"/>
    </xf>
    <xf numFmtId="0" fontId="28" fillId="3" borderId="30" xfId="7" applyFont="1" applyFill="1" applyBorder="1" applyAlignment="1" applyProtection="1">
      <protection hidden="1"/>
    </xf>
    <xf numFmtId="173" fontId="29" fillId="3" borderId="35" xfId="7" applyNumberFormat="1" applyFont="1" applyFill="1" applyBorder="1" applyAlignment="1" applyProtection="1">
      <alignment horizontal="right"/>
      <protection locked="0" hidden="1"/>
    </xf>
    <xf numFmtId="0" fontId="82" fillId="3" borderId="0" xfId="7" applyFont="1" applyFill="1" applyBorder="1" applyAlignment="1" applyProtection="1">
      <alignment horizontal="right"/>
      <protection locked="0" hidden="1"/>
    </xf>
    <xf numFmtId="0" fontId="29" fillId="3" borderId="13" xfId="7" applyFont="1" applyFill="1" applyBorder="1" applyAlignment="1" applyProtection="1">
      <alignment horizontal="center" wrapText="1"/>
      <protection hidden="1"/>
    </xf>
    <xf numFmtId="173" fontId="84" fillId="3" borderId="31" xfId="7" applyNumberFormat="1" applyFont="1" applyFill="1" applyBorder="1" applyAlignment="1" applyProtection="1">
      <alignment horizontal="right"/>
      <protection locked="0" hidden="1"/>
    </xf>
    <xf numFmtId="0" fontId="82" fillId="3" borderId="0" xfId="7" applyFont="1" applyFill="1" applyBorder="1" applyAlignment="1" applyProtection="1">
      <alignment horizontal="left"/>
      <protection locked="0" hidden="1"/>
    </xf>
    <xf numFmtId="173" fontId="74" fillId="8" borderId="31" xfId="7" applyNumberFormat="1" applyFont="1" applyFill="1" applyBorder="1" applyAlignment="1" applyProtection="1">
      <alignment horizontal="center" vertical="center"/>
      <protection hidden="1"/>
    </xf>
    <xf numFmtId="0" fontId="39" fillId="3" borderId="0" xfId="7" applyFont="1" applyFill="1" applyBorder="1" applyAlignment="1" applyProtection="1">
      <alignment vertical="top"/>
      <protection hidden="1"/>
    </xf>
    <xf numFmtId="3" fontId="90" fillId="3" borderId="0" xfId="7" applyNumberFormat="1" applyFont="1" applyFill="1" applyBorder="1" applyAlignment="1" applyProtection="1">
      <alignment horizontal="center" vertical="top"/>
      <protection hidden="1"/>
    </xf>
    <xf numFmtId="0" fontId="76" fillId="3" borderId="0" xfId="7" applyFont="1" applyFill="1" applyBorder="1" applyAlignment="1" applyProtection="1">
      <alignment vertical="center" wrapText="1"/>
      <protection hidden="1"/>
    </xf>
    <xf numFmtId="0" fontId="98" fillId="3" borderId="0" xfId="7" applyFont="1" applyFill="1" applyBorder="1" applyAlignment="1" applyProtection="1">
      <alignment vertical="center" wrapText="1"/>
      <protection hidden="1"/>
    </xf>
    <xf numFmtId="0" fontId="79" fillId="3" borderId="10" xfId="7" applyFont="1" applyFill="1" applyBorder="1" applyAlignment="1" applyProtection="1">
      <alignment horizontal="center"/>
      <protection hidden="1"/>
    </xf>
    <xf numFmtId="0" fontId="32" fillId="3" borderId="31" xfId="7" applyFont="1" applyFill="1" applyBorder="1" applyAlignment="1" applyProtection="1">
      <alignment horizontal="center" vertical="center" wrapText="1"/>
      <protection hidden="1"/>
    </xf>
    <xf numFmtId="0" fontId="32" fillId="3" borderId="31" xfId="7" applyFont="1" applyFill="1" applyBorder="1" applyAlignment="1" applyProtection="1">
      <alignment horizontal="center" vertical="center"/>
      <protection hidden="1"/>
    </xf>
    <xf numFmtId="0" fontId="39" fillId="3" borderId="0" xfId="7" applyFont="1" applyFill="1" applyBorder="1" applyAlignment="1" applyProtection="1">
      <alignment horizontal="left" vertical="center"/>
      <protection hidden="1"/>
    </xf>
    <xf numFmtId="0" fontId="79" fillId="3" borderId="0" xfId="7" applyFont="1" applyFill="1" applyBorder="1" applyAlignment="1" applyProtection="1">
      <alignment horizontal="center" vertical="center"/>
      <protection hidden="1"/>
    </xf>
    <xf numFmtId="0" fontId="28" fillId="3" borderId="9" xfId="7" applyFont="1" applyFill="1" applyBorder="1" applyAlignment="1" applyProtection="1">
      <alignment horizontal="right"/>
      <protection locked="0" hidden="1"/>
    </xf>
    <xf numFmtId="0" fontId="56" fillId="3" borderId="29" xfId="7" applyFont="1" applyFill="1" applyBorder="1" applyAlignment="1" applyProtection="1">
      <alignment horizontal="center" wrapText="1"/>
      <protection hidden="1"/>
    </xf>
    <xf numFmtId="0" fontId="95" fillId="3" borderId="0" xfId="7" applyFont="1" applyFill="1" applyBorder="1" applyAlignment="1" applyProtection="1">
      <alignment horizontal="left" vertical="center"/>
      <protection hidden="1"/>
    </xf>
    <xf numFmtId="0" fontId="79" fillId="3" borderId="0" xfId="7" applyFont="1" applyFill="1" applyBorder="1" applyAlignment="1" applyProtection="1">
      <protection hidden="1"/>
    </xf>
    <xf numFmtId="172" fontId="74" fillId="8" borderId="31" xfId="7" applyNumberFormat="1" applyFont="1" applyFill="1" applyBorder="1" applyAlignment="1" applyProtection="1">
      <alignment horizontal="center" vertical="center"/>
      <protection hidden="1"/>
    </xf>
    <xf numFmtId="0" fontId="28" fillId="3" borderId="0" xfId="7" applyFont="1" applyFill="1" applyBorder="1" applyAlignment="1" applyProtection="1">
      <alignment horizontal="right" vertical="center"/>
      <protection hidden="1"/>
    </xf>
    <xf numFmtId="0" fontId="28" fillId="3" borderId="10" xfId="7" applyFont="1" applyFill="1" applyBorder="1" applyAlignment="1" applyProtection="1">
      <alignment vertical="center"/>
      <protection hidden="1"/>
    </xf>
    <xf numFmtId="173" fontId="74" fillId="3" borderId="31" xfId="7" applyNumberFormat="1" applyFont="1" applyFill="1" applyBorder="1" applyAlignment="1" applyProtection="1">
      <alignment horizontal="center" vertical="center"/>
      <protection hidden="1"/>
    </xf>
    <xf numFmtId="172" fontId="99" fillId="3" borderId="0" xfId="7" applyNumberFormat="1" applyFont="1" applyFill="1" applyBorder="1" applyAlignment="1" applyProtection="1">
      <alignment horizontal="center" vertical="center"/>
      <protection hidden="1"/>
    </xf>
    <xf numFmtId="0" fontId="95" fillId="3" borderId="10" xfId="7" applyFont="1" applyFill="1" applyBorder="1" applyAlignment="1" applyProtection="1">
      <alignment horizontal="left" vertical="center"/>
      <protection hidden="1"/>
    </xf>
    <xf numFmtId="0" fontId="32" fillId="3" borderId="0" xfId="7" applyFont="1" applyFill="1" applyBorder="1" applyAlignment="1" applyProtection="1">
      <alignment vertical="center"/>
      <protection hidden="1"/>
    </xf>
    <xf numFmtId="0" fontId="43" fillId="3" borderId="0" xfId="7" applyFont="1" applyFill="1" applyBorder="1" applyAlignment="1" applyProtection="1">
      <alignment horizontal="center"/>
      <protection hidden="1"/>
    </xf>
    <xf numFmtId="169" fontId="100" fillId="3" borderId="0" xfId="7" applyNumberFormat="1" applyFont="1" applyFill="1" applyBorder="1" applyAlignment="1" applyProtection="1">
      <alignment horizontal="left" vertical="center"/>
      <protection hidden="1"/>
    </xf>
    <xf numFmtId="173" fontId="90" fillId="8" borderId="31" xfId="7" applyNumberFormat="1" applyFont="1" applyFill="1" applyBorder="1" applyAlignment="1" applyProtection="1">
      <alignment horizontal="center" vertical="center"/>
      <protection hidden="1"/>
    </xf>
    <xf numFmtId="173" fontId="78" fillId="3" borderId="0" xfId="7" applyNumberFormat="1" applyFont="1" applyFill="1" applyBorder="1" applyAlignment="1" applyProtection="1">
      <alignment horizontal="center"/>
      <protection hidden="1"/>
    </xf>
    <xf numFmtId="0" fontId="57" fillId="3" borderId="0" xfId="7" applyFont="1" applyFill="1" applyBorder="1" applyAlignment="1" applyProtection="1">
      <alignment horizontal="center"/>
      <protection hidden="1"/>
    </xf>
    <xf numFmtId="173" fontId="99" fillId="3" borderId="0" xfId="7" applyNumberFormat="1" applyFont="1" applyFill="1" applyBorder="1" applyAlignment="1" applyProtection="1">
      <alignment horizontal="center" vertical="center"/>
      <protection hidden="1"/>
    </xf>
    <xf numFmtId="0" fontId="28" fillId="3" borderId="9" xfId="7" applyFont="1" applyFill="1" applyBorder="1" applyAlignment="1" applyProtection="1">
      <alignment vertical="center" wrapText="1"/>
      <protection hidden="1"/>
    </xf>
    <xf numFmtId="0" fontId="101" fillId="3" borderId="10" xfId="7" applyFont="1" applyFill="1" applyBorder="1" applyAlignment="1" applyProtection="1">
      <alignment horizontal="left" vertical="center"/>
      <protection hidden="1"/>
    </xf>
    <xf numFmtId="173" fontId="57" fillId="3" borderId="31" xfId="7" applyNumberFormat="1" applyFont="1" applyFill="1" applyBorder="1" applyAlignment="1" applyProtection="1">
      <alignment horizontal="center"/>
      <protection hidden="1"/>
    </xf>
    <xf numFmtId="0" fontId="102" fillId="3" borderId="0" xfId="7" applyFont="1" applyFill="1" applyBorder="1" applyAlignment="1" applyProtection="1">
      <alignment horizontal="left" vertical="center"/>
      <protection hidden="1"/>
    </xf>
    <xf numFmtId="178" fontId="90" fillId="8" borderId="31" xfId="7" applyNumberFormat="1" applyFont="1" applyFill="1" applyBorder="1" applyAlignment="1" applyProtection="1">
      <alignment horizontal="center" vertical="center"/>
      <protection hidden="1"/>
    </xf>
    <xf numFmtId="0" fontId="99" fillId="3" borderId="0" xfId="7" applyFont="1" applyFill="1" applyBorder="1" applyAlignment="1" applyProtection="1">
      <alignment horizontal="center" vertical="center"/>
      <protection hidden="1"/>
    </xf>
    <xf numFmtId="0" fontId="28" fillId="3" borderId="10" xfId="7" applyFont="1" applyFill="1" applyBorder="1" applyAlignment="1" applyProtection="1">
      <alignment horizontal="left" vertical="center"/>
      <protection hidden="1"/>
    </xf>
    <xf numFmtId="170" fontId="74" fillId="3" borderId="0" xfId="7" applyNumberFormat="1" applyFont="1" applyFill="1" applyBorder="1" applyAlignment="1" applyProtection="1">
      <alignment horizontal="center" vertical="center"/>
      <protection hidden="1"/>
    </xf>
    <xf numFmtId="0" fontId="55" fillId="3" borderId="0" xfId="7" applyFont="1" applyFill="1" applyBorder="1" applyAlignment="1" applyProtection="1">
      <alignment horizontal="left" vertical="top" wrapText="1"/>
      <protection hidden="1"/>
    </xf>
    <xf numFmtId="49" fontId="57" fillId="3" borderId="0" xfId="7" applyNumberFormat="1" applyFont="1" applyFill="1" applyBorder="1" applyAlignment="1" applyProtection="1">
      <alignment wrapText="1"/>
      <protection locked="0" hidden="1"/>
    </xf>
    <xf numFmtId="0" fontId="28" fillId="3" borderId="10" xfId="7" applyFont="1" applyFill="1" applyBorder="1" applyAlignment="1" applyProtection="1">
      <alignment horizontal="right" vertical="center"/>
      <protection hidden="1"/>
    </xf>
    <xf numFmtId="0" fontId="103" fillId="3" borderId="0" xfId="7" applyFont="1" applyFill="1" applyBorder="1" applyAlignment="1" applyProtection="1">
      <alignment vertical="center"/>
      <protection hidden="1"/>
    </xf>
    <xf numFmtId="0" fontId="28" fillId="3" borderId="26" xfId="7" applyFont="1" applyFill="1" applyBorder="1" applyProtection="1">
      <protection hidden="1"/>
    </xf>
    <xf numFmtId="0" fontId="28" fillId="3" borderId="38" xfId="7" applyFont="1" applyFill="1" applyBorder="1" applyProtection="1">
      <protection hidden="1"/>
    </xf>
    <xf numFmtId="173" fontId="29" fillId="3" borderId="36" xfId="7" applyNumberFormat="1" applyFont="1" applyFill="1" applyBorder="1" applyAlignment="1" applyProtection="1">
      <alignment horizontal="right"/>
      <protection locked="0" hidden="1"/>
    </xf>
    <xf numFmtId="0" fontId="79" fillId="3" borderId="0" xfId="7" applyFont="1" applyFill="1" applyBorder="1" applyAlignment="1" applyProtection="1">
      <alignment wrapText="1"/>
      <protection locked="0" hidden="1"/>
    </xf>
    <xf numFmtId="0" fontId="84" fillId="3" borderId="0" xfId="7" applyFont="1" applyFill="1" applyBorder="1" applyAlignment="1" applyProtection="1">
      <alignment wrapText="1"/>
      <protection locked="0" hidden="1"/>
    </xf>
    <xf numFmtId="170" fontId="90" fillId="3" borderId="0" xfId="3" applyNumberFormat="1" applyFont="1" applyFill="1" applyBorder="1" applyProtection="1">
      <protection locked="0" hidden="1"/>
    </xf>
    <xf numFmtId="0" fontId="32" fillId="3" borderId="10" xfId="7" applyFont="1" applyFill="1" applyBorder="1" applyAlignment="1" applyProtection="1">
      <protection hidden="1"/>
    </xf>
    <xf numFmtId="0" fontId="76" fillId="3" borderId="0" xfId="7" applyFont="1" applyFill="1" applyBorder="1" applyAlignment="1" applyProtection="1">
      <protection hidden="1"/>
    </xf>
    <xf numFmtId="0" fontId="76" fillId="3" borderId="0" xfId="7" applyFont="1" applyFill="1" applyBorder="1" applyAlignment="1" applyProtection="1">
      <alignment horizontal="right" vertical="center"/>
      <protection hidden="1"/>
    </xf>
    <xf numFmtId="173" fontId="32" fillId="3" borderId="0" xfId="7" applyNumberFormat="1" applyFont="1" applyFill="1" applyBorder="1" applyAlignment="1" applyProtection="1">
      <alignment horizontal="right" vertical="center"/>
      <protection hidden="1"/>
    </xf>
    <xf numFmtId="0" fontId="28" fillId="3" borderId="0" xfId="7" applyFont="1" applyFill="1" applyBorder="1" applyAlignment="1" applyProtection="1">
      <alignment wrapText="1"/>
      <protection locked="0" hidden="1"/>
    </xf>
    <xf numFmtId="173" fontId="90" fillId="3" borderId="0" xfId="7" applyNumberFormat="1" applyFont="1" applyFill="1" applyBorder="1" applyAlignment="1" applyProtection="1">
      <alignment vertical="center" wrapText="1"/>
      <protection locked="0" hidden="1"/>
    </xf>
    <xf numFmtId="0" fontId="32" fillId="3" borderId="10" xfId="7" quotePrefix="1" applyFont="1" applyFill="1" applyBorder="1" applyProtection="1">
      <protection hidden="1"/>
    </xf>
    <xf numFmtId="0" fontId="41" fillId="3" borderId="10" xfId="7" applyFont="1" applyFill="1" applyBorder="1" applyAlignment="1" applyProtection="1">
      <alignment vertical="top"/>
      <protection hidden="1"/>
    </xf>
    <xf numFmtId="10" fontId="29" fillId="3" borderId="0" xfId="7" applyNumberFormat="1" applyFont="1" applyFill="1" applyBorder="1" applyProtection="1">
      <protection locked="0" hidden="1"/>
    </xf>
    <xf numFmtId="0" fontId="95" fillId="3" borderId="0" xfId="7" applyFont="1" applyFill="1" applyBorder="1" applyAlignment="1" applyProtection="1">
      <protection locked="0" hidden="1"/>
    </xf>
    <xf numFmtId="173" fontId="28" fillId="3" borderId="2" xfId="7" applyNumberFormat="1" applyFont="1" applyFill="1" applyBorder="1" applyAlignment="1" applyProtection="1">
      <alignment horizontal="center"/>
      <protection hidden="1"/>
    </xf>
    <xf numFmtId="9" fontId="28" fillId="3" borderId="2" xfId="7" applyNumberFormat="1" applyFont="1" applyFill="1" applyBorder="1" applyAlignment="1" applyProtection="1">
      <alignment horizontal="center"/>
      <protection hidden="1"/>
    </xf>
    <xf numFmtId="173" fontId="29" fillId="3" borderId="0" xfId="7" applyNumberFormat="1" applyFont="1" applyFill="1" applyBorder="1" applyAlignment="1" applyProtection="1">
      <alignment horizontal="right"/>
      <protection locked="0" hidden="1"/>
    </xf>
    <xf numFmtId="0" fontId="96" fillId="3" borderId="0" xfId="7" applyFont="1" applyFill="1" applyBorder="1" applyAlignment="1" applyProtection="1">
      <alignment horizontal="left" wrapText="1"/>
      <protection locked="0" hidden="1"/>
    </xf>
    <xf numFmtId="173" fontId="28" fillId="3" borderId="3" xfId="7" applyNumberFormat="1" applyFont="1" applyFill="1" applyBorder="1" applyAlignment="1" applyProtection="1">
      <alignment horizontal="center"/>
      <protection hidden="1"/>
    </xf>
    <xf numFmtId="9" fontId="28" fillId="3" borderId="3" xfId="7" applyNumberFormat="1" applyFont="1" applyFill="1" applyBorder="1" applyAlignment="1" applyProtection="1">
      <alignment horizontal="center"/>
      <protection hidden="1"/>
    </xf>
    <xf numFmtId="173" fontId="84" fillId="3" borderId="0" xfId="7" applyNumberFormat="1" applyFont="1" applyFill="1" applyBorder="1" applyAlignment="1" applyProtection="1">
      <alignment horizontal="right"/>
      <protection locked="0" hidden="1"/>
    </xf>
    <xf numFmtId="0" fontId="29" fillId="3" borderId="0" xfId="7" applyFont="1" applyFill="1" applyBorder="1" applyAlignment="1" applyProtection="1">
      <protection locked="0" hidden="1"/>
    </xf>
    <xf numFmtId="0" fontId="28" fillId="3" borderId="0" xfId="7" applyFont="1" applyFill="1" applyBorder="1" applyAlignment="1" applyProtection="1">
      <alignment vertical="top"/>
      <protection locked="0" hidden="1"/>
    </xf>
    <xf numFmtId="173" fontId="28" fillId="3" borderId="0" xfId="7" applyNumberFormat="1" applyFont="1" applyFill="1" applyBorder="1" applyAlignment="1" applyProtection="1">
      <alignment vertical="center" wrapText="1"/>
      <protection locked="0" hidden="1"/>
    </xf>
    <xf numFmtId="0" fontId="28" fillId="3" borderId="26" xfId="7" applyFont="1" applyFill="1" applyBorder="1" applyProtection="1">
      <protection locked="0" hidden="1"/>
    </xf>
    <xf numFmtId="0" fontId="28" fillId="3" borderId="8" xfId="7" applyFont="1" applyFill="1" applyBorder="1" applyProtection="1">
      <protection locked="0" hidden="1"/>
    </xf>
    <xf numFmtId="0" fontId="28" fillId="3" borderId="25" xfId="7" applyFont="1" applyFill="1" applyBorder="1" applyProtection="1">
      <protection hidden="1"/>
    </xf>
    <xf numFmtId="0" fontId="28" fillId="3" borderId="8" xfId="7" applyFont="1" applyFill="1" applyBorder="1" applyAlignment="1" applyProtection="1">
      <protection locked="0" hidden="1"/>
    </xf>
    <xf numFmtId="173" fontId="28" fillId="3" borderId="4" xfId="7" applyNumberFormat="1" applyFont="1" applyFill="1" applyBorder="1" applyAlignment="1" applyProtection="1">
      <alignment horizontal="center"/>
      <protection hidden="1"/>
    </xf>
    <xf numFmtId="9" fontId="28" fillId="3" borderId="4" xfId="7" applyNumberFormat="1" applyFont="1" applyFill="1" applyBorder="1" applyAlignment="1" applyProtection="1">
      <alignment horizontal="center"/>
      <protection hidden="1"/>
    </xf>
    <xf numFmtId="173" fontId="28" fillId="3" borderId="39" xfId="7" applyNumberFormat="1" applyFont="1" applyFill="1" applyBorder="1" applyAlignment="1" applyProtection="1">
      <alignment horizontal="center"/>
      <protection hidden="1"/>
    </xf>
    <xf numFmtId="9" fontId="28" fillId="3" borderId="39" xfId="7" applyNumberFormat="1" applyFont="1" applyFill="1" applyBorder="1" applyAlignment="1" applyProtection="1">
      <alignment horizontal="center"/>
      <protection hidden="1"/>
    </xf>
    <xf numFmtId="0" fontId="57" fillId="3" borderId="10" xfId="7" applyFont="1" applyFill="1" applyBorder="1" applyAlignment="1" applyProtection="1">
      <alignment horizontal="center"/>
      <protection hidden="1"/>
    </xf>
    <xf numFmtId="0" fontId="81" fillId="3" borderId="0" xfId="7" applyFont="1" applyFill="1" applyBorder="1" applyAlignment="1" applyProtection="1">
      <alignment horizontal="right" wrapText="1"/>
      <protection hidden="1"/>
    </xf>
    <xf numFmtId="0" fontId="57" fillId="3" borderId="0" xfId="7" applyFont="1" applyFill="1" applyBorder="1" applyAlignment="1" applyProtection="1">
      <alignment horizontal="center" vertical="center"/>
      <protection locked="0" hidden="1"/>
    </xf>
    <xf numFmtId="0" fontId="57" fillId="3" borderId="68" xfId="7" applyFont="1" applyFill="1" applyBorder="1" applyAlignment="1" applyProtection="1">
      <alignment horizontal="left"/>
      <protection hidden="1"/>
    </xf>
    <xf numFmtId="0" fontId="81" fillId="0" borderId="31" xfId="7" applyFont="1" applyFill="1" applyBorder="1" applyAlignment="1" applyProtection="1">
      <alignment horizontal="right" wrapText="1"/>
      <protection locked="0" hidden="1"/>
    </xf>
    <xf numFmtId="0" fontId="81" fillId="0" borderId="32" xfId="7" applyFont="1" applyFill="1" applyBorder="1" applyAlignment="1" applyProtection="1">
      <alignment horizontal="right" wrapText="1"/>
      <protection locked="0" hidden="1"/>
    </xf>
    <xf numFmtId="0" fontId="55" fillId="3" borderId="0" xfId="7" applyFont="1" applyFill="1" applyBorder="1" applyAlignment="1" applyProtection="1">
      <alignment horizontal="left" vertical="top"/>
      <protection hidden="1"/>
    </xf>
    <xf numFmtId="0" fontId="55" fillId="0" borderId="0" xfId="7" applyFont="1" applyFill="1" applyBorder="1" applyAlignment="1" applyProtection="1">
      <alignment horizontal="left" vertical="top"/>
      <protection hidden="1"/>
    </xf>
    <xf numFmtId="0" fontId="29" fillId="0" borderId="0" xfId="7" applyFont="1" applyFill="1" applyProtection="1">
      <protection locked="0" hidden="1"/>
    </xf>
    <xf numFmtId="0" fontId="28" fillId="0" borderId="0" xfId="7" applyFont="1" applyFill="1" applyProtection="1">
      <protection locked="0" hidden="1"/>
    </xf>
    <xf numFmtId="0" fontId="29" fillId="3" borderId="92" xfId="7" applyFont="1" applyFill="1" applyBorder="1" applyProtection="1">
      <protection hidden="1"/>
    </xf>
    <xf numFmtId="0" fontId="28" fillId="3" borderId="92" xfId="7" applyFont="1" applyFill="1" applyBorder="1" applyProtection="1">
      <protection hidden="1"/>
    </xf>
    <xf numFmtId="0" fontId="28" fillId="3" borderId="92" xfId="7" applyFont="1" applyFill="1" applyBorder="1" applyAlignment="1" applyProtection="1">
      <protection hidden="1"/>
    </xf>
    <xf numFmtId="0" fontId="79" fillId="0" borderId="0" xfId="7" applyFont="1" applyFill="1" applyProtection="1">
      <protection locked="0" hidden="1"/>
    </xf>
    <xf numFmtId="0" fontId="80" fillId="3" borderId="0" xfId="7" applyFont="1" applyFill="1" applyProtection="1">
      <protection locked="0" hidden="1"/>
    </xf>
    <xf numFmtId="0" fontId="80" fillId="3" borderId="5" xfId="7" applyFont="1" applyFill="1" applyBorder="1" applyProtection="1">
      <protection locked="0" hidden="1"/>
    </xf>
    <xf numFmtId="0" fontId="80" fillId="3" borderId="0" xfId="7" applyFont="1" applyFill="1" applyBorder="1" applyProtection="1">
      <protection locked="0" hidden="1"/>
    </xf>
    <xf numFmtId="0" fontId="80" fillId="3" borderId="0" xfId="7" applyNumberFormat="1" applyFont="1" applyFill="1" applyAlignment="1" applyProtection="1">
      <alignment horizontal="center" wrapText="1"/>
      <protection locked="0" hidden="1"/>
    </xf>
    <xf numFmtId="0" fontId="80" fillId="3" borderId="5" xfId="7" applyNumberFormat="1" applyFont="1" applyFill="1" applyBorder="1" applyAlignment="1" applyProtection="1">
      <alignment horizontal="center" wrapText="1"/>
      <protection locked="0" hidden="1"/>
    </xf>
    <xf numFmtId="9" fontId="42" fillId="3" borderId="0" xfId="8" applyFont="1" applyFill="1" applyBorder="1" applyAlignment="1" applyProtection="1">
      <protection locked="0" hidden="1"/>
    </xf>
    <xf numFmtId="0" fontId="42" fillId="3" borderId="0" xfId="7" applyFont="1" applyFill="1" applyProtection="1">
      <protection locked="0" hidden="1"/>
    </xf>
    <xf numFmtId="0" fontId="42" fillId="3" borderId="0" xfId="7" applyFont="1" applyFill="1" applyBorder="1" applyAlignment="1" applyProtection="1">
      <protection locked="0" hidden="1"/>
    </xf>
    <xf numFmtId="0" fontId="80" fillId="3" borderId="5" xfId="7" applyFont="1" applyFill="1" applyBorder="1" applyAlignment="1" applyProtection="1">
      <alignment vertical="center"/>
      <protection locked="0" hidden="1"/>
    </xf>
    <xf numFmtId="0" fontId="80" fillId="3" borderId="0" xfId="7" applyFont="1" applyFill="1" applyBorder="1" applyAlignment="1" applyProtection="1">
      <alignment vertical="center"/>
      <protection locked="0" hidden="1"/>
    </xf>
    <xf numFmtId="0" fontId="80" fillId="10" borderId="1" xfId="7" applyFont="1" applyFill="1" applyBorder="1" applyAlignment="1" applyProtection="1">
      <alignment vertical="center"/>
      <protection locked="0" hidden="1"/>
    </xf>
    <xf numFmtId="0" fontId="80" fillId="10" borderId="1" xfId="7" applyFont="1" applyFill="1" applyBorder="1" applyAlignment="1" applyProtection="1">
      <alignment horizontal="center"/>
      <protection locked="0" hidden="1"/>
    </xf>
    <xf numFmtId="0" fontId="80" fillId="10" borderId="0" xfId="7" applyFont="1" applyFill="1" applyProtection="1">
      <protection locked="0" hidden="1"/>
    </xf>
    <xf numFmtId="0" fontId="80" fillId="10" borderId="48" xfId="7" applyFont="1" applyFill="1" applyBorder="1" applyAlignment="1" applyProtection="1">
      <alignment horizontal="center"/>
      <protection locked="0" hidden="1"/>
    </xf>
    <xf numFmtId="0" fontId="80" fillId="10" borderId="48" xfId="7" applyFont="1" applyFill="1" applyBorder="1" applyAlignment="1" applyProtection="1">
      <alignment vertical="center"/>
      <protection locked="0" hidden="1"/>
    </xf>
    <xf numFmtId="0" fontId="80" fillId="10" borderId="43" xfId="7" applyFont="1" applyFill="1" applyBorder="1" applyAlignment="1" applyProtection="1">
      <alignment horizontal="center"/>
      <protection locked="0" hidden="1"/>
    </xf>
    <xf numFmtId="0" fontId="80" fillId="10" borderId="1" xfId="7" applyFont="1" applyFill="1" applyBorder="1" applyProtection="1">
      <protection locked="0" hidden="1"/>
    </xf>
    <xf numFmtId="0" fontId="80" fillId="10" borderId="37" xfId="7" applyFont="1" applyFill="1" applyBorder="1" applyProtection="1">
      <protection locked="0" hidden="1"/>
    </xf>
    <xf numFmtId="0" fontId="80" fillId="10" borderId="45" xfId="7" applyFont="1" applyFill="1" applyBorder="1" applyAlignment="1" applyProtection="1">
      <alignment horizontal="center"/>
      <protection locked="0" hidden="1"/>
    </xf>
    <xf numFmtId="0" fontId="80" fillId="10" borderId="0" xfId="7" applyFont="1" applyFill="1" applyBorder="1" applyProtection="1">
      <protection locked="0" hidden="1"/>
    </xf>
    <xf numFmtId="170" fontId="80" fillId="10" borderId="1" xfId="7" applyNumberFormat="1" applyFont="1" applyFill="1" applyBorder="1" applyProtection="1">
      <protection locked="0" hidden="1"/>
    </xf>
    <xf numFmtId="0" fontId="80" fillId="10" borderId="0" xfId="7" applyFont="1" applyFill="1" applyAlignment="1" applyProtection="1">
      <alignment horizontal="center"/>
      <protection locked="0" hidden="1"/>
    </xf>
    <xf numFmtId="174" fontId="80" fillId="10" borderId="1" xfId="7" applyNumberFormat="1" applyFont="1" applyFill="1" applyBorder="1" applyProtection="1">
      <protection locked="0" hidden="1"/>
    </xf>
    <xf numFmtId="182" fontId="80" fillId="10" borderId="1" xfId="7" applyNumberFormat="1" applyFont="1" applyFill="1" applyBorder="1" applyAlignment="1" applyProtection="1">
      <protection locked="0" hidden="1"/>
    </xf>
    <xf numFmtId="0" fontId="80" fillId="10" borderId="0" xfId="7" applyFont="1" applyFill="1" applyBorder="1" applyAlignment="1" applyProtection="1">
      <protection locked="0" hidden="1"/>
    </xf>
    <xf numFmtId="169" fontId="80" fillId="10" borderId="1" xfId="7" applyNumberFormat="1" applyFont="1" applyFill="1" applyBorder="1" applyProtection="1">
      <protection locked="0" hidden="1"/>
    </xf>
    <xf numFmtId="0" fontId="80" fillId="10" borderId="1" xfId="7" applyFont="1" applyFill="1" applyBorder="1" applyAlignment="1" applyProtection="1">
      <protection locked="0" hidden="1"/>
    </xf>
    <xf numFmtId="181" fontId="80" fillId="10" borderId="0" xfId="7" applyNumberFormat="1" applyFont="1" applyFill="1" applyProtection="1">
      <protection locked="0" hidden="1"/>
    </xf>
    <xf numFmtId="0" fontId="80" fillId="10" borderId="48" xfId="7" applyFont="1" applyFill="1" applyBorder="1" applyProtection="1">
      <protection locked="0" hidden="1"/>
    </xf>
    <xf numFmtId="0" fontId="80" fillId="10" borderId="0" xfId="7" applyFont="1" applyFill="1" applyBorder="1" applyAlignment="1" applyProtection="1">
      <alignment wrapText="1"/>
      <protection locked="0" hidden="1"/>
    </xf>
    <xf numFmtId="0" fontId="53" fillId="10" borderId="0" xfId="0" applyFont="1" applyFill="1" applyBorder="1" applyAlignment="1">
      <alignment wrapText="1"/>
    </xf>
    <xf numFmtId="0" fontId="80" fillId="10" borderId="0" xfId="7" applyFont="1" applyFill="1" applyAlignment="1" applyProtection="1">
      <protection locked="0" hidden="1"/>
    </xf>
    <xf numFmtId="0" fontId="80" fillId="10" borderId="0" xfId="7" applyFont="1" applyFill="1" applyBorder="1" applyAlignment="1" applyProtection="1">
      <alignment horizontal="center"/>
      <protection locked="0" hidden="1"/>
    </xf>
    <xf numFmtId="0" fontId="42" fillId="0" borderId="0" xfId="7" applyFont="1" applyFill="1" applyBorder="1" applyProtection="1">
      <protection locked="0" hidden="1"/>
    </xf>
    <xf numFmtId="0" fontId="42" fillId="0" borderId="0" xfId="7" applyFont="1" applyFill="1" applyBorder="1" applyAlignment="1" applyProtection="1">
      <alignment horizontal="center"/>
      <protection locked="0" hidden="1"/>
    </xf>
    <xf numFmtId="0" fontId="42" fillId="0" borderId="0" xfId="7" applyFont="1" applyFill="1" applyProtection="1">
      <protection locked="0" hidden="1"/>
    </xf>
    <xf numFmtId="0" fontId="54" fillId="0" borderId="0" xfId="0" applyFont="1" applyFill="1" applyBorder="1" applyAlignment="1">
      <alignment wrapText="1"/>
    </xf>
    <xf numFmtId="0" fontId="63" fillId="0" borderId="0" xfId="7" applyFont="1" applyFill="1" applyBorder="1" applyProtection="1">
      <protection locked="0" hidden="1"/>
    </xf>
    <xf numFmtId="0" fontId="54" fillId="0" borderId="0" xfId="7" applyFont="1" applyFill="1" applyBorder="1" applyAlignment="1">
      <alignment horizontal="left" vertical="top"/>
    </xf>
    <xf numFmtId="0" fontId="80" fillId="0" borderId="0" xfId="7" applyFont="1" applyFill="1" applyProtection="1">
      <protection locked="0" hidden="1"/>
    </xf>
    <xf numFmtId="0" fontId="42" fillId="0" borderId="0" xfId="7" applyFont="1" applyFill="1" applyAlignment="1" applyProtection="1">
      <alignment vertical="center" wrapText="1"/>
      <protection locked="0" hidden="1"/>
    </xf>
    <xf numFmtId="0" fontId="54" fillId="0" borderId="0" xfId="0" applyFont="1" applyFill="1" applyAlignment="1">
      <alignment vertical="center" wrapText="1"/>
    </xf>
    <xf numFmtId="0" fontId="62" fillId="0" borderId="0" xfId="7" applyFont="1" applyFill="1" applyBorder="1" applyAlignment="1" applyProtection="1">
      <alignment vertical="center" wrapText="1"/>
      <protection locked="0" hidden="1"/>
    </xf>
    <xf numFmtId="0" fontId="54" fillId="0" borderId="0" xfId="7" applyFont="1" applyFill="1" applyBorder="1" applyAlignment="1">
      <alignment vertical="center"/>
    </xf>
    <xf numFmtId="0" fontId="54" fillId="0" borderId="0" xfId="7" applyFont="1" applyFill="1" applyBorder="1" applyAlignment="1">
      <alignment horizontal="left" vertical="center" wrapText="1"/>
    </xf>
    <xf numFmtId="0" fontId="80" fillId="0" borderId="0" xfId="7" applyFont="1" applyFill="1" applyBorder="1" applyProtection="1">
      <protection locked="0" hidden="1"/>
    </xf>
    <xf numFmtId="0" fontId="27" fillId="3" borderId="0" xfId="7" applyFont="1" applyFill="1" applyProtection="1">
      <protection locked="0" hidden="1"/>
    </xf>
    <xf numFmtId="0" fontId="42" fillId="3" borderId="0" xfId="7" applyFont="1" applyFill="1" applyAlignment="1" applyProtection="1">
      <alignment vertical="top"/>
      <protection locked="0" hidden="1"/>
    </xf>
    <xf numFmtId="0" fontId="35" fillId="3" borderId="32" xfId="7" applyFont="1" applyFill="1" applyBorder="1" applyAlignment="1" applyProtection="1">
      <alignment wrapText="1"/>
      <protection locked="0" hidden="1"/>
    </xf>
    <xf numFmtId="0" fontId="35" fillId="3" borderId="10" xfId="7" applyFont="1" applyFill="1" applyBorder="1" applyAlignment="1" applyProtection="1">
      <alignment wrapText="1"/>
      <protection locked="0" hidden="1"/>
    </xf>
    <xf numFmtId="0" fontId="121" fillId="3" borderId="10" xfId="7" applyFont="1" applyFill="1" applyBorder="1" applyProtection="1">
      <protection locked="0" hidden="1"/>
    </xf>
    <xf numFmtId="0" fontId="42" fillId="3" borderId="10" xfId="7" applyFont="1" applyFill="1" applyBorder="1" applyAlignment="1" applyProtection="1">
      <alignment horizontal="left"/>
      <protection locked="0" hidden="1"/>
    </xf>
    <xf numFmtId="0" fontId="42" fillId="3" borderId="0" xfId="7" applyFont="1" applyFill="1" applyBorder="1" applyAlignment="1" applyProtection="1">
      <alignment horizontal="left"/>
      <protection locked="0" hidden="1"/>
    </xf>
    <xf numFmtId="0" fontId="80" fillId="3" borderId="10" xfId="7" applyFont="1" applyFill="1" applyBorder="1" applyAlignment="1" applyProtection="1">
      <alignment horizontal="right"/>
      <protection locked="0" hidden="1"/>
    </xf>
    <xf numFmtId="0" fontId="42" fillId="3" borderId="10" xfId="7" applyFont="1" applyFill="1" applyBorder="1" applyProtection="1">
      <protection locked="0" hidden="1"/>
    </xf>
    <xf numFmtId="0" fontId="80" fillId="3" borderId="0" xfId="7" applyFont="1" applyFill="1" applyBorder="1" applyAlignment="1" applyProtection="1">
      <alignment horizontal="right"/>
      <protection locked="0" hidden="1"/>
    </xf>
    <xf numFmtId="0" fontId="42" fillId="3" borderId="0" xfId="7" applyFont="1" applyFill="1" applyBorder="1" applyProtection="1">
      <protection locked="0" hidden="1"/>
    </xf>
    <xf numFmtId="0" fontId="35" fillId="3" borderId="0" xfId="7" applyFont="1" applyFill="1" applyBorder="1" applyAlignment="1" applyProtection="1">
      <alignment wrapText="1"/>
      <protection locked="0" hidden="1"/>
    </xf>
    <xf numFmtId="0" fontId="42" fillId="3" borderId="0" xfId="7" applyFont="1" applyFill="1" applyProtection="1">
      <protection hidden="1"/>
    </xf>
    <xf numFmtId="0" fontId="42" fillId="3" borderId="67" xfId="7" applyFont="1" applyFill="1" applyBorder="1" applyAlignment="1" applyProtection="1">
      <alignment wrapText="1"/>
      <protection hidden="1"/>
    </xf>
    <xf numFmtId="0" fontId="42" fillId="3" borderId="0" xfId="7" applyFont="1" applyFill="1" applyBorder="1" applyAlignment="1" applyProtection="1">
      <protection hidden="1"/>
    </xf>
    <xf numFmtId="0" fontId="42" fillId="3" borderId="0" xfId="7" applyFont="1" applyFill="1" applyBorder="1" applyAlignment="1" applyProtection="1">
      <alignment wrapText="1"/>
      <protection hidden="1"/>
    </xf>
    <xf numFmtId="170" fontId="42" fillId="3" borderId="0" xfId="7" applyNumberFormat="1" applyFont="1" applyFill="1" applyBorder="1" applyAlignment="1" applyProtection="1">
      <protection locked="0" hidden="1"/>
    </xf>
    <xf numFmtId="0" fontId="121" fillId="3" borderId="0" xfId="7" applyFont="1" applyFill="1" applyBorder="1" applyProtection="1">
      <protection locked="0" hidden="1"/>
    </xf>
    <xf numFmtId="0" fontId="42" fillId="3" borderId="0" xfId="7" applyFont="1" applyFill="1" applyBorder="1" applyAlignment="1" applyProtection="1">
      <alignment vertical="top"/>
      <protection locked="0" hidden="1"/>
    </xf>
    <xf numFmtId="0" fontId="42" fillId="3" borderId="26" xfId="7" applyFont="1" applyFill="1" applyBorder="1" applyProtection="1">
      <protection locked="0" hidden="1"/>
    </xf>
    <xf numFmtId="0" fontId="42" fillId="3" borderId="8" xfId="7" applyFont="1" applyFill="1" applyBorder="1" applyProtection="1">
      <protection locked="0" hidden="1"/>
    </xf>
    <xf numFmtId="0" fontId="42" fillId="3" borderId="25" xfId="7" applyFont="1" applyFill="1" applyBorder="1" applyProtection="1">
      <protection locked="0" hidden="1"/>
    </xf>
    <xf numFmtId="0" fontId="42" fillId="3" borderId="8" xfId="7" applyFont="1" applyFill="1" applyBorder="1" applyAlignment="1" applyProtection="1">
      <protection locked="0" hidden="1"/>
    </xf>
    <xf numFmtId="172" fontId="57" fillId="6" borderId="31" xfId="8" applyNumberFormat="1" applyFont="1" applyFill="1" applyBorder="1" applyAlignment="1" applyProtection="1">
      <alignment horizontal="center" vertical="center" wrapText="1"/>
      <protection hidden="1"/>
    </xf>
    <xf numFmtId="173" fontId="86" fillId="6" borderId="0" xfId="7" applyNumberFormat="1" applyFont="1" applyFill="1" applyBorder="1" applyAlignment="1" applyProtection="1">
      <alignment horizontal="center"/>
      <protection hidden="1"/>
    </xf>
    <xf numFmtId="164" fontId="86" fillId="6" borderId="0" xfId="1" applyNumberFormat="1" applyFont="1" applyFill="1" applyBorder="1" applyAlignment="1" applyProtection="1">
      <alignment horizontal="center" vertical="top"/>
      <protection hidden="1"/>
    </xf>
    <xf numFmtId="173" fontId="86" fillId="6" borderId="0" xfId="1" applyNumberFormat="1" applyFont="1" applyFill="1" applyBorder="1" applyAlignment="1" applyProtection="1">
      <alignment horizontal="center" vertical="top"/>
      <protection hidden="1"/>
    </xf>
    <xf numFmtId="172" fontId="86" fillId="6" borderId="0" xfId="8" applyNumberFormat="1" applyFont="1" applyFill="1" applyBorder="1" applyAlignment="1" applyProtection="1">
      <alignment horizontal="center"/>
      <protection hidden="1"/>
    </xf>
    <xf numFmtId="0" fontId="42" fillId="3" borderId="0" xfId="7" applyFont="1" applyFill="1" applyBorder="1" applyAlignment="1" applyProtection="1">
      <alignment horizontal="center" vertical="top"/>
      <protection hidden="1"/>
    </xf>
    <xf numFmtId="0" fontId="37" fillId="3" borderId="0" xfId="7" applyFont="1" applyFill="1" applyBorder="1" applyAlignment="1" applyProtection="1">
      <alignment horizontal="left" vertical="top"/>
      <protection hidden="1"/>
    </xf>
    <xf numFmtId="0" fontId="42" fillId="0" borderId="0" xfId="7" applyFont="1" applyFill="1" applyBorder="1" applyAlignment="1" applyProtection="1">
      <alignment horizontal="center" vertical="top"/>
      <protection hidden="1"/>
    </xf>
    <xf numFmtId="0" fontId="57" fillId="3" borderId="0" xfId="7" applyFont="1" applyFill="1" applyBorder="1" applyAlignment="1" applyProtection="1">
      <alignment horizontal="left"/>
      <protection locked="0" hidden="1"/>
    </xf>
    <xf numFmtId="0" fontId="28" fillId="3" borderId="10" xfId="7" applyFont="1" applyFill="1" applyBorder="1" applyAlignment="1" applyProtection="1">
      <alignment horizontal="center" vertical="center"/>
      <protection hidden="1"/>
    </xf>
    <xf numFmtId="0" fontId="55" fillId="3" borderId="0" xfId="7" applyFont="1" applyFill="1" applyBorder="1" applyAlignment="1" applyProtection="1">
      <alignment horizontal="center"/>
      <protection hidden="1"/>
    </xf>
    <xf numFmtId="0" fontId="39" fillId="3" borderId="29" xfId="7" applyFont="1" applyFill="1" applyBorder="1" applyAlignment="1" applyProtection="1">
      <alignment vertical="center" wrapText="1"/>
      <protection hidden="1"/>
    </xf>
    <xf numFmtId="0" fontId="0" fillId="0" borderId="29" xfId="0" applyBorder="1" applyAlignment="1">
      <alignment horizontal="left"/>
    </xf>
    <xf numFmtId="0" fontId="28" fillId="3" borderId="10" xfId="7" applyFont="1" applyFill="1" applyBorder="1" applyAlignment="1" applyProtection="1">
      <alignment horizontal="center" vertical="center" shrinkToFit="1"/>
      <protection hidden="1"/>
    </xf>
    <xf numFmtId="0" fontId="28" fillId="3" borderId="10" xfId="7" applyFont="1" applyFill="1" applyBorder="1" applyAlignment="1" applyProtection="1">
      <alignment horizontal="right" vertical="center" shrinkToFit="1"/>
      <protection hidden="1"/>
    </xf>
    <xf numFmtId="0" fontId="39" fillId="3" borderId="10" xfId="7" applyFont="1" applyFill="1" applyBorder="1" applyAlignment="1" applyProtection="1">
      <alignment horizontal="right" vertical="center" shrinkToFit="1"/>
      <protection hidden="1"/>
    </xf>
    <xf numFmtId="0" fontId="39" fillId="3" borderId="10" xfId="7" applyFont="1" applyFill="1" applyBorder="1" applyAlignment="1" applyProtection="1">
      <alignment vertical="center" shrinkToFit="1"/>
      <protection hidden="1"/>
    </xf>
    <xf numFmtId="0" fontId="39" fillId="3" borderId="28" xfId="7" applyFont="1" applyFill="1" applyBorder="1" applyAlignment="1" applyProtection="1">
      <alignment vertical="center" shrinkToFit="1"/>
      <protection hidden="1"/>
    </xf>
    <xf numFmtId="0" fontId="82" fillId="3" borderId="0" xfId="7" applyFont="1" applyFill="1" applyBorder="1" applyAlignment="1" applyProtection="1">
      <alignment horizontal="right"/>
      <protection locked="0" hidden="1"/>
    </xf>
    <xf numFmtId="0" fontId="74" fillId="8" borderId="17" xfId="7" applyFont="1" applyFill="1" applyBorder="1" applyAlignment="1" applyProtection="1">
      <alignment vertical="top"/>
      <protection hidden="1"/>
    </xf>
    <xf numFmtId="173" fontId="86" fillId="6" borderId="94" xfId="7" applyNumberFormat="1" applyFont="1" applyFill="1" applyBorder="1" applyProtection="1">
      <protection hidden="1"/>
    </xf>
    <xf numFmtId="0" fontId="11" fillId="3" borderId="0" xfId="0" applyNumberFormat="1" applyFont="1" applyFill="1" applyAlignment="1" applyProtection="1">
      <alignment horizontal="left" vertical="center" wrapText="1"/>
      <protection hidden="1"/>
    </xf>
    <xf numFmtId="0" fontId="32" fillId="3" borderId="0" xfId="7" applyFont="1" applyFill="1" applyBorder="1" applyAlignment="1" applyProtection="1">
      <alignment horizontal="left"/>
      <protection locked="0" hidden="1"/>
    </xf>
    <xf numFmtId="0" fontId="57" fillId="0" borderId="31" xfId="7" applyFont="1" applyFill="1" applyBorder="1" applyAlignment="1" applyProtection="1">
      <alignment horizontal="center"/>
      <protection locked="0"/>
    </xf>
    <xf numFmtId="0" fontId="57" fillId="0" borderId="31" xfId="7" applyFont="1" applyFill="1" applyBorder="1" applyAlignment="1" applyProtection="1">
      <alignment horizontal="center" vertical="center"/>
      <protection locked="0" hidden="1"/>
    </xf>
    <xf numFmtId="0" fontId="57" fillId="0" borderId="31" xfId="7" applyFont="1" applyFill="1" applyBorder="1" applyAlignment="1" applyProtection="1">
      <alignment horizontal="center" wrapText="1"/>
      <protection locked="0"/>
    </xf>
    <xf numFmtId="0" fontId="38" fillId="3" borderId="0" xfId="7" applyFont="1" applyFill="1" applyBorder="1" applyAlignment="1" applyProtection="1">
      <alignment horizontal="center"/>
      <protection hidden="1"/>
    </xf>
    <xf numFmtId="0" fontId="38" fillId="3" borderId="0" xfId="7" applyFont="1" applyFill="1" applyBorder="1" applyAlignment="1" applyProtection="1">
      <alignment horizontal="center" vertical="center" wrapText="1"/>
      <protection hidden="1"/>
    </xf>
    <xf numFmtId="0" fontId="32" fillId="3" borderId="9" xfId="7" applyFont="1" applyFill="1" applyBorder="1" applyAlignment="1" applyProtection="1">
      <alignment horizontal="right" vertical="top" indent="2"/>
      <protection hidden="1"/>
    </xf>
    <xf numFmtId="0" fontId="32" fillId="3" borderId="9" xfId="7" applyFont="1" applyFill="1" applyBorder="1" applyAlignment="1" applyProtection="1">
      <alignment horizontal="right" indent="2"/>
      <protection hidden="1"/>
    </xf>
    <xf numFmtId="0" fontId="28" fillId="0" borderId="0" xfId="7" applyFont="1" applyFill="1" applyBorder="1" applyAlignment="1" applyProtection="1">
      <alignment vertical="top" wrapText="1"/>
      <protection hidden="1"/>
    </xf>
    <xf numFmtId="173" fontId="74" fillId="0" borderId="0" xfId="8" applyNumberFormat="1" applyFont="1" applyFill="1" applyBorder="1" applyAlignment="1" applyProtection="1">
      <alignment vertical="center"/>
      <protection hidden="1"/>
    </xf>
    <xf numFmtId="1" fontId="27" fillId="3" borderId="0" xfId="7" applyNumberFormat="1" applyFont="1" applyFill="1" applyBorder="1" applyAlignment="1" applyProtection="1">
      <alignment horizontal="center" vertical="top" wrapText="1"/>
      <protection hidden="1"/>
    </xf>
    <xf numFmtId="9" fontId="28" fillId="3" borderId="0" xfId="7" applyNumberFormat="1" applyFont="1" applyFill="1" applyBorder="1" applyAlignment="1" applyProtection="1">
      <alignment horizontal="center"/>
      <protection hidden="1"/>
    </xf>
    <xf numFmtId="0" fontId="98" fillId="0" borderId="0" xfId="7" applyFont="1" applyFill="1" applyBorder="1" applyAlignment="1" applyProtection="1">
      <alignment horizontal="center" wrapText="1"/>
      <protection hidden="1"/>
    </xf>
    <xf numFmtId="173" fontId="98" fillId="0" borderId="0" xfId="8" applyNumberFormat="1" applyFont="1" applyFill="1" applyBorder="1" applyAlignment="1" applyProtection="1">
      <alignment horizontal="center"/>
      <protection hidden="1"/>
    </xf>
    <xf numFmtId="0" fontId="98" fillId="0" borderId="0" xfId="7" applyFont="1" applyFill="1" applyBorder="1" applyAlignment="1" applyProtection="1">
      <alignment horizontal="center"/>
      <protection hidden="1"/>
    </xf>
    <xf numFmtId="9" fontId="32" fillId="3" borderId="31" xfId="8" applyFont="1" applyFill="1" applyBorder="1" applyAlignment="1" applyProtection="1">
      <alignment horizontal="center" vertical="center"/>
      <protection hidden="1"/>
    </xf>
    <xf numFmtId="173" fontId="57" fillId="0" borderId="31" xfId="8" applyNumberFormat="1" applyFont="1" applyFill="1" applyBorder="1" applyAlignment="1" applyProtection="1">
      <alignment horizontal="center" vertical="center"/>
      <protection hidden="1"/>
    </xf>
    <xf numFmtId="3" fontId="32" fillId="0" borderId="31" xfId="8" applyNumberFormat="1" applyFont="1" applyFill="1" applyBorder="1" applyAlignment="1" applyProtection="1">
      <alignment horizontal="center"/>
      <protection locked="0"/>
    </xf>
    <xf numFmtId="3" fontId="32" fillId="0" borderId="31" xfId="7" applyNumberFormat="1" applyFont="1" applyFill="1" applyBorder="1" applyAlignment="1" applyProtection="1">
      <alignment horizontal="center" wrapText="1"/>
      <protection locked="0"/>
    </xf>
    <xf numFmtId="3" fontId="32" fillId="0" borderId="31" xfId="7" applyNumberFormat="1" applyFont="1" applyFill="1" applyBorder="1" applyAlignment="1" applyProtection="1">
      <alignment horizontal="center"/>
      <protection locked="0"/>
    </xf>
    <xf numFmtId="0" fontId="39" fillId="3" borderId="0" xfId="7" applyFont="1" applyFill="1" applyBorder="1" applyAlignment="1" applyProtection="1">
      <alignment horizontal="center"/>
      <protection hidden="1"/>
    </xf>
    <xf numFmtId="0" fontId="57" fillId="3" borderId="0" xfId="7" applyFont="1" applyFill="1" applyBorder="1" applyAlignment="1" applyProtection="1">
      <alignment horizontal="center" vertical="center"/>
      <protection hidden="1"/>
    </xf>
    <xf numFmtId="0" fontId="81" fillId="3" borderId="0" xfId="7" applyFont="1" applyFill="1" applyBorder="1" applyAlignment="1" applyProtection="1">
      <alignment horizontal="left"/>
      <protection hidden="1"/>
    </xf>
    <xf numFmtId="0" fontId="0" fillId="0" borderId="0" xfId="0" applyBorder="1" applyAlignment="1">
      <alignment horizontal="left"/>
    </xf>
    <xf numFmtId="0" fontId="0" fillId="0" borderId="0" xfId="0" applyBorder="1" applyAlignment="1"/>
    <xf numFmtId="17" fontId="82" fillId="3" borderId="93" xfId="7" applyNumberFormat="1" applyFont="1" applyFill="1" applyBorder="1" applyAlignment="1" applyProtection="1">
      <alignment vertical="center"/>
      <protection hidden="1"/>
    </xf>
    <xf numFmtId="173" fontId="57" fillId="0" borderId="31" xfId="7" applyNumberFormat="1" applyFont="1" applyFill="1" applyBorder="1" applyAlignment="1" applyProtection="1">
      <alignment horizontal="center"/>
      <protection locked="0" hidden="1"/>
    </xf>
    <xf numFmtId="0" fontId="18" fillId="0" borderId="0" xfId="0" applyFont="1" applyBorder="1" applyAlignment="1"/>
    <xf numFmtId="0" fontId="32" fillId="3" borderId="0" xfId="7" applyFont="1" applyFill="1" applyBorder="1" applyAlignment="1" applyProtection="1">
      <alignment horizontal="right"/>
      <protection hidden="1"/>
    </xf>
    <xf numFmtId="0" fontId="32" fillId="3" borderId="0" xfId="7" applyFont="1" applyFill="1" applyBorder="1" applyAlignment="1" applyProtection="1">
      <alignment horizontal="left" vertical="center"/>
      <protection locked="0" hidden="1"/>
    </xf>
    <xf numFmtId="0" fontId="124" fillId="3" borderId="10" xfId="7" applyFont="1" applyFill="1" applyBorder="1" applyAlignment="1" applyProtection="1">
      <alignment horizontal="right" vertical="center"/>
      <protection hidden="1"/>
    </xf>
    <xf numFmtId="0" fontId="125" fillId="0" borderId="0" xfId="0" applyFont="1" applyBorder="1" applyAlignment="1">
      <alignment horizontal="right"/>
    </xf>
    <xf numFmtId="0" fontId="17" fillId="0" borderId="0" xfId="0" applyFont="1" applyBorder="1" applyAlignment="1">
      <alignment horizontal="right"/>
    </xf>
    <xf numFmtId="0" fontId="54" fillId="0" borderId="0" xfId="0" applyFont="1" applyBorder="1" applyAlignment="1">
      <alignment vertical="center" wrapText="1"/>
    </xf>
    <xf numFmtId="0" fontId="57" fillId="3" borderId="0" xfId="7" applyFont="1" applyFill="1" applyBorder="1" applyAlignment="1" applyProtection="1">
      <alignment wrapText="1"/>
      <protection hidden="1"/>
    </xf>
    <xf numFmtId="0" fontId="86" fillId="3" borderId="0" xfId="7" applyFont="1" applyFill="1" applyBorder="1" applyAlignment="1" applyProtection="1">
      <alignment horizontal="right" wrapText="1"/>
      <protection hidden="1"/>
    </xf>
    <xf numFmtId="165" fontId="133" fillId="6" borderId="0" xfId="7" applyNumberFormat="1" applyFont="1" applyFill="1" applyBorder="1" applyAlignment="1" applyProtection="1">
      <alignment vertical="center"/>
      <protection hidden="1"/>
    </xf>
    <xf numFmtId="165" fontId="86" fillId="6" borderId="0" xfId="7" applyNumberFormat="1" applyFont="1" applyFill="1" applyBorder="1" applyAlignment="1" applyProtection="1">
      <alignment vertical="center"/>
      <protection hidden="1"/>
    </xf>
    <xf numFmtId="49" fontId="57" fillId="3" borderId="0" xfId="7" applyNumberFormat="1" applyFont="1" applyFill="1" applyBorder="1" applyAlignment="1" applyProtection="1">
      <alignment horizontal="left"/>
      <protection locked="0"/>
    </xf>
    <xf numFmtId="0" fontId="0" fillId="0" borderId="0" xfId="0" applyBorder="1" applyAlignment="1" applyProtection="1">
      <alignment horizontal="left"/>
      <protection locked="0"/>
    </xf>
    <xf numFmtId="0" fontId="32" fillId="3" borderId="98" xfId="7" quotePrefix="1" applyFont="1" applyFill="1" applyBorder="1" applyAlignment="1" applyProtection="1">
      <alignment horizontal="center" vertical="center"/>
      <protection hidden="1"/>
    </xf>
    <xf numFmtId="0" fontId="0" fillId="0" borderId="0" xfId="0" applyBorder="1" applyAlignment="1">
      <alignment horizontal="left" vertical="top"/>
    </xf>
    <xf numFmtId="0" fontId="32" fillId="3" borderId="100" xfId="7" applyFont="1" applyFill="1" applyBorder="1" applyAlignment="1" applyProtection="1">
      <alignment horizontal="right" vertical="center"/>
      <protection hidden="1"/>
    </xf>
    <xf numFmtId="0" fontId="32" fillId="3" borderId="101" xfId="7" applyFont="1" applyFill="1" applyBorder="1" applyAlignment="1" applyProtection="1">
      <alignment horizontal="right" vertical="center"/>
      <protection hidden="1"/>
    </xf>
    <xf numFmtId="49" fontId="57" fillId="3" borderId="29" xfId="7" applyNumberFormat="1" applyFont="1" applyFill="1" applyBorder="1" applyAlignment="1" applyProtection="1">
      <alignment horizontal="left"/>
      <protection locked="0"/>
    </xf>
    <xf numFmtId="0" fontId="0" fillId="0" borderId="29" xfId="0" applyBorder="1" applyAlignment="1" applyProtection="1">
      <alignment horizontal="left"/>
      <protection locked="0"/>
    </xf>
    <xf numFmtId="0" fontId="28" fillId="3" borderId="29" xfId="7" applyFont="1" applyFill="1" applyBorder="1" applyAlignment="1" applyProtection="1">
      <protection locked="0" hidden="1"/>
    </xf>
    <xf numFmtId="0" fontId="18" fillId="0" borderId="29" xfId="0" applyFont="1" applyBorder="1" applyAlignment="1"/>
    <xf numFmtId="0" fontId="57" fillId="3" borderId="10" xfId="7" applyFont="1" applyFill="1" applyBorder="1" applyAlignment="1" applyProtection="1">
      <protection hidden="1"/>
    </xf>
    <xf numFmtId="10" fontId="77" fillId="6" borderId="0" xfId="7" applyNumberFormat="1" applyFont="1" applyFill="1" applyBorder="1" applyAlignment="1" applyProtection="1">
      <alignment horizontal="center" vertical="center"/>
      <protection hidden="1"/>
    </xf>
    <xf numFmtId="0" fontId="132" fillId="3" borderId="0" xfId="7" applyFont="1" applyFill="1" applyBorder="1" applyAlignment="1" applyProtection="1">
      <alignment horizontal="left"/>
      <protection hidden="1"/>
    </xf>
    <xf numFmtId="0" fontId="132" fillId="3" borderId="0" xfId="7" applyFont="1" applyFill="1" applyBorder="1" applyProtection="1">
      <protection hidden="1"/>
    </xf>
    <xf numFmtId="0" fontId="98" fillId="3" borderId="0" xfId="7" applyFont="1" applyFill="1" applyBorder="1" applyProtection="1">
      <protection hidden="1"/>
    </xf>
    <xf numFmtId="169" fontId="98" fillId="3" borderId="0" xfId="3" applyNumberFormat="1" applyFont="1" applyFill="1" applyBorder="1" applyProtection="1">
      <protection hidden="1"/>
    </xf>
    <xf numFmtId="0" fontId="57" fillId="3" borderId="31" xfId="7" applyFont="1" applyFill="1" applyBorder="1" applyAlignment="1" applyProtection="1">
      <alignment horizontal="center" vertical="center"/>
      <protection locked="0"/>
    </xf>
    <xf numFmtId="173" fontId="57" fillId="5" borderId="31" xfId="7" applyNumberFormat="1" applyFont="1" applyFill="1" applyBorder="1" applyAlignment="1" applyProtection="1">
      <alignment horizontal="center" vertical="center" wrapText="1"/>
      <protection locked="0"/>
    </xf>
    <xf numFmtId="0" fontId="11" fillId="3" borderId="0" xfId="0" applyFont="1" applyFill="1" applyAlignment="1" applyProtection="1">
      <alignment horizontal="left" vertical="center" wrapText="1"/>
      <protection locked="0"/>
    </xf>
    <xf numFmtId="0" fontId="11" fillId="0" borderId="0" xfId="0" applyFont="1" applyAlignment="1" applyProtection="1">
      <alignment wrapText="1"/>
      <protection hidden="1"/>
    </xf>
    <xf numFmtId="0" fontId="8" fillId="0" borderId="13" xfId="10" applyBorder="1" applyProtection="1">
      <protection hidden="1"/>
    </xf>
    <xf numFmtId="0" fontId="8" fillId="0" borderId="13" xfId="10" applyBorder="1" applyAlignment="1" applyProtection="1">
      <alignment horizontal="center"/>
      <protection hidden="1"/>
    </xf>
    <xf numFmtId="173" fontId="8" fillId="0" borderId="13" xfId="10" applyNumberFormat="1" applyBorder="1" applyAlignment="1" applyProtection="1">
      <alignment horizontal="center"/>
      <protection hidden="1"/>
    </xf>
    <xf numFmtId="0" fontId="8" fillId="0" borderId="14" xfId="10" applyBorder="1" applyProtection="1">
      <protection hidden="1"/>
    </xf>
    <xf numFmtId="0" fontId="8" fillId="0" borderId="0" xfId="10" applyBorder="1"/>
    <xf numFmtId="0" fontId="8" fillId="0" borderId="0" xfId="10"/>
    <xf numFmtId="0" fontId="8" fillId="0" borderId="0" xfId="10" applyBorder="1" applyProtection="1">
      <protection hidden="1"/>
    </xf>
    <xf numFmtId="0" fontId="8" fillId="0" borderId="0" xfId="10" applyBorder="1" applyAlignment="1" applyProtection="1">
      <alignment horizontal="center"/>
      <protection hidden="1"/>
    </xf>
    <xf numFmtId="173" fontId="8" fillId="0" borderId="0" xfId="10" applyNumberFormat="1" applyBorder="1" applyAlignment="1" applyProtection="1">
      <alignment horizontal="center"/>
      <protection hidden="1"/>
    </xf>
    <xf numFmtId="0" fontId="8" fillId="0" borderId="9" xfId="10" applyBorder="1" applyProtection="1">
      <protection hidden="1"/>
    </xf>
    <xf numFmtId="0" fontId="136" fillId="0" borderId="0" xfId="10" applyFont="1" applyBorder="1" applyAlignment="1" applyProtection="1">
      <alignment horizontal="center" vertical="center"/>
      <protection hidden="1"/>
    </xf>
    <xf numFmtId="0" fontId="136" fillId="0" borderId="0" xfId="10" applyFont="1" applyBorder="1" applyProtection="1">
      <protection hidden="1"/>
    </xf>
    <xf numFmtId="0" fontId="61" fillId="0" borderId="1" xfId="10" applyFont="1" applyBorder="1" applyAlignment="1" applyProtection="1">
      <alignment horizontal="center" vertical="center"/>
      <protection locked="0"/>
    </xf>
    <xf numFmtId="0" fontId="137" fillId="0" borderId="1" xfId="10" applyFont="1" applyBorder="1" applyAlignment="1" applyProtection="1">
      <alignment horizontal="center" vertical="center"/>
      <protection locked="0"/>
    </xf>
    <xf numFmtId="0" fontId="8" fillId="0" borderId="9" xfId="10" applyBorder="1" applyAlignment="1" applyProtection="1">
      <protection hidden="1"/>
    </xf>
    <xf numFmtId="0" fontId="138" fillId="0" borderId="0" xfId="10" applyFont="1" applyBorder="1" applyAlignment="1" applyProtection="1">
      <protection hidden="1"/>
    </xf>
    <xf numFmtId="173" fontId="141" fillId="0" borderId="15" xfId="10" applyNumberFormat="1" applyFont="1" applyBorder="1" applyAlignment="1">
      <alignment horizontal="right"/>
    </xf>
    <xf numFmtId="173" fontId="141" fillId="5" borderId="15" xfId="10" applyNumberFormat="1" applyFont="1" applyFill="1" applyBorder="1" applyAlignment="1" applyProtection="1">
      <alignment horizontal="right" vertical="center"/>
      <protection hidden="1"/>
    </xf>
    <xf numFmtId="0" fontId="141" fillId="5" borderId="16" xfId="10" applyFont="1" applyFill="1" applyBorder="1" applyAlignment="1" applyProtection="1">
      <alignment horizontal="left" vertical="center"/>
      <protection hidden="1"/>
    </xf>
    <xf numFmtId="173" fontId="141" fillId="12" borderId="15" xfId="11" applyNumberFormat="1" applyFont="1" applyFill="1" applyBorder="1" applyAlignment="1" applyProtection="1">
      <alignment horizontal="center"/>
      <protection hidden="1"/>
    </xf>
    <xf numFmtId="10" fontId="141" fillId="12" borderId="15" xfId="10" applyNumberFormat="1" applyFont="1" applyFill="1" applyBorder="1" applyAlignment="1" applyProtection="1">
      <alignment horizontal="center"/>
      <protection hidden="1"/>
    </xf>
    <xf numFmtId="10" fontId="141" fillId="12" borderId="15" xfId="11" applyNumberFormat="1" applyFont="1" applyFill="1" applyBorder="1" applyAlignment="1" applyProtection="1">
      <alignment horizontal="center"/>
      <protection hidden="1"/>
    </xf>
    <xf numFmtId="0" fontId="8" fillId="0" borderId="29" xfId="10" applyBorder="1" applyProtection="1">
      <protection hidden="1"/>
    </xf>
    <xf numFmtId="0" fontId="8" fillId="0" borderId="29" xfId="10" applyBorder="1" applyAlignment="1" applyProtection="1">
      <alignment horizontal="center"/>
      <protection hidden="1"/>
    </xf>
    <xf numFmtId="173" fontId="8" fillId="0" borderId="29" xfId="10" applyNumberFormat="1" applyBorder="1" applyAlignment="1" applyProtection="1">
      <alignment horizontal="center"/>
      <protection hidden="1"/>
    </xf>
    <xf numFmtId="0" fontId="8" fillId="0" borderId="30" xfId="10" applyBorder="1" applyProtection="1">
      <protection hidden="1"/>
    </xf>
    <xf numFmtId="0" fontId="8" fillId="0" borderId="0" xfId="10" applyAlignment="1">
      <alignment horizontal="center"/>
    </xf>
    <xf numFmtId="173" fontId="8" fillId="0" borderId="0" xfId="10" applyNumberFormat="1" applyAlignment="1">
      <alignment horizontal="center"/>
    </xf>
    <xf numFmtId="0" fontId="8" fillId="0" borderId="89" xfId="10" applyBorder="1"/>
    <xf numFmtId="0" fontId="8" fillId="0" borderId="106" xfId="10" applyBorder="1" applyAlignment="1">
      <alignment horizontal="center"/>
    </xf>
    <xf numFmtId="0" fontId="8" fillId="0" borderId="90" xfId="10" applyBorder="1" applyAlignment="1">
      <alignment horizontal="center"/>
    </xf>
    <xf numFmtId="0" fontId="8" fillId="0" borderId="1" xfId="10" applyBorder="1"/>
    <xf numFmtId="0" fontId="8" fillId="0" borderId="1" xfId="10" applyBorder="1" applyAlignment="1">
      <alignment horizontal="center"/>
    </xf>
    <xf numFmtId="0" fontId="8" fillId="0" borderId="107" xfId="10" applyBorder="1"/>
    <xf numFmtId="0" fontId="8" fillId="5" borderId="1" xfId="10" applyFill="1" applyBorder="1"/>
    <xf numFmtId="0" fontId="8" fillId="0" borderId="108" xfId="10" applyBorder="1"/>
    <xf numFmtId="0" fontId="8" fillId="0" borderId="109" xfId="10" applyBorder="1"/>
    <xf numFmtId="0" fontId="8" fillId="5" borderId="49" xfId="10" applyFill="1" applyBorder="1"/>
    <xf numFmtId="0" fontId="8" fillId="5" borderId="108" xfId="10" applyFill="1" applyBorder="1"/>
    <xf numFmtId="0" fontId="8" fillId="5" borderId="109" xfId="10" applyFill="1" applyBorder="1"/>
    <xf numFmtId="172" fontId="8" fillId="0" borderId="0" xfId="10" applyNumberFormat="1"/>
    <xf numFmtId="0" fontId="142" fillId="0" borderId="0" xfId="10" applyFont="1" applyAlignment="1">
      <alignment horizontal="center"/>
    </xf>
    <xf numFmtId="0" fontId="8" fillId="0" borderId="0" xfId="10" applyAlignment="1">
      <alignment horizontal="center" wrapText="1"/>
    </xf>
    <xf numFmtId="0" fontId="8" fillId="0" borderId="31" xfId="10" applyBorder="1" applyAlignment="1">
      <alignment horizontal="center" wrapText="1"/>
    </xf>
    <xf numFmtId="173" fontId="8" fillId="15" borderId="99" xfId="10" applyNumberFormat="1" applyFill="1" applyBorder="1" applyAlignment="1">
      <alignment horizontal="center"/>
    </xf>
    <xf numFmtId="0" fontId="8" fillId="0" borderId="107" xfId="10" applyFill="1" applyBorder="1"/>
    <xf numFmtId="173" fontId="8" fillId="15" borderId="111" xfId="10" applyNumberFormat="1" applyFill="1" applyBorder="1" applyAlignment="1">
      <alignment horizontal="center"/>
    </xf>
    <xf numFmtId="0" fontId="8" fillId="0" borderId="0" xfId="10" applyFill="1"/>
    <xf numFmtId="173" fontId="8" fillId="15" borderId="46" xfId="10" applyNumberFormat="1" applyFill="1" applyBorder="1" applyAlignment="1">
      <alignment horizontal="center"/>
    </xf>
    <xf numFmtId="173" fontId="8" fillId="15" borderId="110" xfId="10" applyNumberFormat="1" applyFill="1" applyBorder="1" applyAlignment="1">
      <alignment horizontal="center"/>
    </xf>
    <xf numFmtId="173" fontId="8" fillId="15" borderId="112" xfId="10" applyNumberFormat="1" applyFill="1" applyBorder="1" applyAlignment="1">
      <alignment horizontal="center"/>
    </xf>
    <xf numFmtId="0" fontId="8" fillId="0" borderId="95" xfId="10" applyBorder="1"/>
    <xf numFmtId="0" fontId="8" fillId="0" borderId="95" xfId="10" applyBorder="1" applyAlignment="1">
      <alignment horizontal="center"/>
    </xf>
    <xf numFmtId="0" fontId="8" fillId="7" borderId="0" xfId="10" applyFill="1"/>
    <xf numFmtId="10" fontId="0" fillId="0" borderId="37" xfId="11" applyNumberFormat="1" applyFont="1" applyBorder="1" applyAlignment="1">
      <alignment horizontal="center"/>
    </xf>
    <xf numFmtId="10" fontId="0" fillId="0" borderId="0" xfId="11" applyNumberFormat="1" applyFont="1" applyAlignment="1">
      <alignment horizontal="center"/>
    </xf>
    <xf numFmtId="9" fontId="8" fillId="0" borderId="37" xfId="10" applyNumberFormat="1" applyBorder="1" applyAlignment="1">
      <alignment horizontal="center"/>
    </xf>
    <xf numFmtId="173" fontId="9" fillId="12" borderId="15" xfId="11" applyNumberFormat="1" applyFont="1" applyFill="1" applyBorder="1" applyAlignment="1" applyProtection="1">
      <alignment horizontal="center"/>
      <protection hidden="1"/>
    </xf>
    <xf numFmtId="173" fontId="141" fillId="12" borderId="104" xfId="11" applyNumberFormat="1" applyFont="1" applyFill="1" applyBorder="1" applyAlignment="1" applyProtection="1">
      <alignment horizontal="center"/>
      <protection hidden="1"/>
    </xf>
    <xf numFmtId="172" fontId="9" fillId="12" borderId="58" xfId="11" applyNumberFormat="1" applyFont="1" applyFill="1" applyBorder="1" applyAlignment="1" applyProtection="1">
      <alignment horizontal="center"/>
      <protection hidden="1"/>
    </xf>
    <xf numFmtId="172" fontId="9" fillId="12" borderId="105" xfId="11" applyNumberFormat="1" applyFont="1" applyFill="1" applyBorder="1" applyAlignment="1" applyProtection="1">
      <alignment horizontal="center"/>
      <protection hidden="1"/>
    </xf>
    <xf numFmtId="2" fontId="9" fillId="12" borderId="58" xfId="11" applyNumberFormat="1" applyFont="1" applyFill="1" applyBorder="1" applyAlignment="1" applyProtection="1">
      <alignment horizontal="center"/>
      <protection hidden="1"/>
    </xf>
    <xf numFmtId="9" fontId="138" fillId="5" borderId="58" xfId="10" applyNumberFormat="1" applyFont="1" applyFill="1" applyBorder="1" applyAlignment="1" applyProtection="1">
      <alignment horizontal="left"/>
      <protection hidden="1"/>
    </xf>
    <xf numFmtId="0" fontId="138" fillId="0" borderId="0" xfId="10" applyFont="1" applyFill="1" applyBorder="1" applyProtection="1">
      <protection hidden="1"/>
    </xf>
    <xf numFmtId="0" fontId="138" fillId="5" borderId="58" xfId="10" applyFont="1" applyFill="1" applyBorder="1" applyAlignment="1" applyProtection="1">
      <alignment horizontal="left"/>
      <protection locked="0"/>
    </xf>
    <xf numFmtId="173" fontId="138" fillId="5" borderId="15" xfId="10" applyNumberFormat="1" applyFont="1" applyFill="1" applyBorder="1" applyAlignment="1" applyProtection="1">
      <alignment horizontal="center"/>
      <protection hidden="1"/>
    </xf>
    <xf numFmtId="0" fontId="138" fillId="5" borderId="16" xfId="10" applyFont="1" applyFill="1" applyBorder="1" applyProtection="1">
      <protection hidden="1"/>
    </xf>
    <xf numFmtId="173" fontId="138" fillId="5" borderId="58" xfId="10" applyNumberFormat="1" applyFont="1" applyFill="1" applyBorder="1" applyAlignment="1" applyProtection="1">
      <alignment horizontal="left"/>
      <protection locked="0"/>
    </xf>
    <xf numFmtId="0" fontId="138" fillId="0" borderId="102" xfId="10" applyFont="1" applyFill="1" applyBorder="1" applyProtection="1">
      <protection hidden="1"/>
    </xf>
    <xf numFmtId="0" fontId="138" fillId="0" borderId="0" xfId="10" applyFont="1" applyFill="1" applyBorder="1" applyAlignment="1" applyProtection="1">
      <alignment horizontal="left"/>
      <protection hidden="1"/>
    </xf>
    <xf numFmtId="10" fontId="138" fillId="5" borderId="15" xfId="10" applyNumberFormat="1" applyFont="1" applyFill="1" applyBorder="1" applyAlignment="1" applyProtection="1">
      <alignment horizontal="center"/>
      <protection hidden="1"/>
    </xf>
    <xf numFmtId="0" fontId="138" fillId="0" borderId="0" xfId="10" applyFont="1" applyBorder="1" applyAlignment="1" applyProtection="1">
      <alignment horizontal="center"/>
      <protection hidden="1"/>
    </xf>
    <xf numFmtId="173" fontId="138" fillId="0" borderId="0" xfId="10" applyNumberFormat="1" applyFont="1" applyBorder="1" applyAlignment="1" applyProtection="1">
      <alignment horizontal="center"/>
      <protection hidden="1"/>
    </xf>
    <xf numFmtId="10" fontId="143" fillId="0" borderId="0" xfId="11" applyNumberFormat="1" applyFont="1" applyBorder="1" applyProtection="1">
      <protection hidden="1"/>
    </xf>
    <xf numFmtId="0" fontId="138" fillId="0" borderId="0" xfId="10" applyFont="1" applyBorder="1" applyProtection="1">
      <protection hidden="1"/>
    </xf>
    <xf numFmtId="0" fontId="138" fillId="0" borderId="0" xfId="10" applyFont="1" applyFill="1" applyBorder="1" applyAlignment="1" applyProtection="1">
      <alignment horizontal="center"/>
      <protection hidden="1"/>
    </xf>
    <xf numFmtId="173" fontId="138" fillId="0" borderId="0" xfId="10" applyNumberFormat="1" applyFont="1" applyFill="1" applyBorder="1" applyAlignment="1" applyProtection="1">
      <alignment horizontal="center"/>
      <protection hidden="1"/>
    </xf>
    <xf numFmtId="10" fontId="143" fillId="0" borderId="0" xfId="11" applyNumberFormat="1" applyFont="1" applyFill="1" applyBorder="1" applyProtection="1">
      <protection hidden="1"/>
    </xf>
    <xf numFmtId="173" fontId="138" fillId="12" borderId="15" xfId="10" applyNumberFormat="1" applyFont="1" applyFill="1" applyBorder="1" applyAlignment="1" applyProtection="1">
      <alignment horizontal="left"/>
      <protection hidden="1"/>
    </xf>
    <xf numFmtId="10" fontId="138" fillId="12" borderId="15" xfId="10" applyNumberFormat="1" applyFont="1" applyFill="1" applyBorder="1" applyAlignment="1" applyProtection="1">
      <alignment horizontal="center"/>
      <protection hidden="1"/>
    </xf>
    <xf numFmtId="0" fontId="138" fillId="12" borderId="16" xfId="10" applyFont="1" applyFill="1" applyBorder="1" applyProtection="1">
      <protection hidden="1"/>
    </xf>
    <xf numFmtId="173" fontId="138" fillId="12" borderId="58" xfId="10" applyNumberFormat="1" applyFont="1" applyFill="1" applyBorder="1" applyAlignment="1" applyProtection="1">
      <alignment horizontal="center"/>
      <protection hidden="1"/>
    </xf>
    <xf numFmtId="173" fontId="138" fillId="12" borderId="15" xfId="10" applyNumberFormat="1" applyFont="1" applyFill="1" applyBorder="1" applyAlignment="1" applyProtection="1">
      <alignment horizontal="center"/>
      <protection hidden="1"/>
    </xf>
    <xf numFmtId="9" fontId="138" fillId="12" borderId="15" xfId="11" applyFont="1" applyFill="1" applyBorder="1" applyAlignment="1" applyProtection="1">
      <alignment horizontal="left"/>
      <protection hidden="1"/>
    </xf>
    <xf numFmtId="173" fontId="138" fillId="12" borderId="15" xfId="11" applyNumberFormat="1" applyFont="1" applyFill="1" applyBorder="1" applyAlignment="1" applyProtection="1">
      <alignment horizontal="center"/>
      <protection hidden="1"/>
    </xf>
    <xf numFmtId="173" fontId="50" fillId="12" borderId="15" xfId="11" applyNumberFormat="1" applyFont="1" applyFill="1" applyBorder="1" applyAlignment="1" applyProtection="1">
      <alignment horizontal="center"/>
      <protection hidden="1"/>
    </xf>
    <xf numFmtId="172" fontId="138" fillId="12" borderId="15" xfId="11" applyNumberFormat="1" applyFont="1" applyFill="1" applyBorder="1" applyAlignment="1" applyProtection="1">
      <alignment horizontal="left"/>
      <protection hidden="1"/>
    </xf>
    <xf numFmtId="173" fontId="138" fillId="12" borderId="96" xfId="11" applyNumberFormat="1" applyFont="1" applyFill="1" applyBorder="1" applyAlignment="1" applyProtection="1">
      <alignment horizontal="center"/>
      <protection hidden="1"/>
    </xf>
    <xf numFmtId="173" fontId="138" fillId="12" borderId="16" xfId="10" applyNumberFormat="1" applyFont="1" applyFill="1" applyBorder="1" applyAlignment="1" applyProtection="1">
      <alignment horizontal="center"/>
      <protection hidden="1"/>
    </xf>
    <xf numFmtId="165" fontId="138" fillId="12" borderId="15" xfId="10" applyNumberFormat="1" applyFont="1" applyFill="1" applyBorder="1" applyAlignment="1" applyProtection="1">
      <alignment horizontal="left"/>
      <protection hidden="1"/>
    </xf>
    <xf numFmtId="165" fontId="138" fillId="12" borderId="58" xfId="10" applyNumberFormat="1" applyFont="1" applyFill="1" applyBorder="1" applyAlignment="1" applyProtection="1">
      <alignment horizontal="center"/>
      <protection hidden="1"/>
    </xf>
    <xf numFmtId="10" fontId="138" fillId="12" borderId="16" xfId="10" applyNumberFormat="1" applyFont="1" applyFill="1" applyBorder="1" applyAlignment="1" applyProtection="1">
      <alignment horizontal="center"/>
      <protection hidden="1"/>
    </xf>
    <xf numFmtId="165" fontId="138" fillId="12" borderId="15" xfId="11" applyNumberFormat="1" applyFont="1" applyFill="1" applyBorder="1" applyAlignment="1" applyProtection="1">
      <alignment horizontal="left"/>
      <protection hidden="1"/>
    </xf>
    <xf numFmtId="10" fontId="138" fillId="12" borderId="15" xfId="11" applyNumberFormat="1" applyFont="1" applyFill="1" applyBorder="1" applyAlignment="1" applyProtection="1">
      <alignment horizontal="center"/>
      <protection hidden="1"/>
    </xf>
    <xf numFmtId="10" fontId="138" fillId="12" borderId="11" xfId="11" applyNumberFormat="1" applyFont="1" applyFill="1" applyBorder="1" applyAlignment="1" applyProtection="1">
      <alignment horizontal="center"/>
      <protection hidden="1"/>
    </xf>
    <xf numFmtId="173" fontId="138" fillId="12" borderId="15" xfId="11" applyNumberFormat="1" applyFont="1" applyFill="1" applyBorder="1" applyAlignment="1" applyProtection="1">
      <alignment horizontal="left"/>
      <protection hidden="1"/>
    </xf>
    <xf numFmtId="165" fontId="138" fillId="12" borderId="44" xfId="10" applyNumberFormat="1" applyFont="1" applyFill="1" applyBorder="1" applyAlignment="1" applyProtection="1">
      <alignment horizontal="left"/>
      <protection hidden="1"/>
    </xf>
    <xf numFmtId="183" fontId="138" fillId="12" borderId="15" xfId="10" applyNumberFormat="1" applyFont="1" applyFill="1" applyBorder="1" applyAlignment="1" applyProtection="1">
      <alignment horizontal="center"/>
      <protection hidden="1"/>
    </xf>
    <xf numFmtId="183" fontId="138" fillId="12" borderId="16" xfId="10" applyNumberFormat="1" applyFont="1" applyFill="1" applyBorder="1" applyProtection="1">
      <protection hidden="1"/>
    </xf>
    <xf numFmtId="0" fontId="137" fillId="12" borderId="103" xfId="10" applyFont="1" applyFill="1" applyBorder="1" applyAlignment="1" applyProtection="1">
      <alignment horizontal="left"/>
      <protection hidden="1"/>
    </xf>
    <xf numFmtId="0" fontId="136" fillId="12" borderId="103" xfId="10" applyFont="1" applyFill="1" applyBorder="1" applyProtection="1">
      <protection hidden="1"/>
    </xf>
    <xf numFmtId="0" fontId="137" fillId="12" borderId="103" xfId="10" applyFont="1" applyFill="1" applyBorder="1" applyProtection="1">
      <protection hidden="1"/>
    </xf>
    <xf numFmtId="0" fontId="137" fillId="12" borderId="1" xfId="10" applyFont="1" applyFill="1" applyBorder="1" applyProtection="1">
      <protection hidden="1"/>
    </xf>
    <xf numFmtId="0" fontId="137" fillId="12" borderId="37" xfId="10" applyFont="1" applyFill="1" applyBorder="1" applyProtection="1">
      <protection hidden="1"/>
    </xf>
    <xf numFmtId="0" fontId="137" fillId="12" borderId="1" xfId="10" applyFont="1" applyFill="1" applyBorder="1" applyAlignment="1" applyProtection="1">
      <alignment horizontal="left" vertical="center"/>
      <protection hidden="1"/>
    </xf>
    <xf numFmtId="0" fontId="137" fillId="12" borderId="37" xfId="10" applyFont="1" applyFill="1" applyBorder="1" applyAlignment="1" applyProtection="1">
      <alignment vertical="center"/>
      <protection hidden="1"/>
    </xf>
    <xf numFmtId="0" fontId="137" fillId="12" borderId="1" xfId="10" applyFont="1" applyFill="1" applyBorder="1" applyAlignment="1" applyProtection="1">
      <alignment vertical="center"/>
      <protection hidden="1"/>
    </xf>
    <xf numFmtId="2" fontId="138" fillId="12" borderId="58" xfId="11" applyNumberFormat="1" applyFont="1" applyFill="1" applyBorder="1" applyAlignment="1" applyProtection="1">
      <alignment horizontal="left"/>
      <protection hidden="1"/>
    </xf>
    <xf numFmtId="9" fontId="141" fillId="5" borderId="16" xfId="10" applyNumberFormat="1" applyFont="1" applyFill="1" applyBorder="1" applyAlignment="1" applyProtection="1">
      <alignment horizontal="right"/>
      <protection hidden="1"/>
    </xf>
    <xf numFmtId="172" fontId="144" fillId="12" borderId="15" xfId="11" applyNumberFormat="1" applyFont="1" applyFill="1" applyBorder="1" applyAlignment="1" applyProtection="1">
      <alignment horizontal="left"/>
      <protection hidden="1"/>
    </xf>
    <xf numFmtId="173" fontId="144" fillId="12" borderId="15" xfId="10" applyNumberFormat="1" applyFont="1" applyFill="1" applyBorder="1" applyAlignment="1" applyProtection="1">
      <alignment horizontal="left"/>
      <protection hidden="1"/>
    </xf>
    <xf numFmtId="0" fontId="141" fillId="0" borderId="0" xfId="10" applyFont="1" applyFill="1" applyBorder="1" applyAlignment="1" applyProtection="1">
      <alignment horizontal="center"/>
      <protection hidden="1"/>
    </xf>
    <xf numFmtId="173" fontId="61" fillId="0" borderId="0" xfId="10" applyNumberFormat="1" applyFont="1" applyBorder="1" applyAlignment="1" applyProtection="1">
      <alignment horizontal="center" vertical="center"/>
      <protection hidden="1"/>
    </xf>
    <xf numFmtId="0" fontId="61" fillId="0" borderId="0" xfId="10" applyFont="1" applyBorder="1" applyAlignment="1" applyProtection="1">
      <alignment horizontal="center" vertical="center"/>
      <protection hidden="1"/>
    </xf>
    <xf numFmtId="173" fontId="145" fillId="12" borderId="104" xfId="11" applyNumberFormat="1" applyFont="1" applyFill="1" applyBorder="1" applyAlignment="1" applyProtection="1">
      <alignment horizontal="center"/>
      <protection hidden="1"/>
    </xf>
    <xf numFmtId="0" fontId="146" fillId="12" borderId="1" xfId="10" applyFont="1" applyFill="1" applyBorder="1" applyProtection="1">
      <protection hidden="1"/>
    </xf>
    <xf numFmtId="0" fontId="7" fillId="0" borderId="0" xfId="10" applyFont="1" applyFill="1" applyBorder="1" applyProtection="1">
      <protection hidden="1"/>
    </xf>
    <xf numFmtId="0" fontId="147" fillId="0" borderId="0" xfId="10" applyFont="1" applyBorder="1" applyAlignment="1" applyProtection="1">
      <alignment horizontal="left" vertical="top"/>
      <protection hidden="1"/>
    </xf>
    <xf numFmtId="0" fontId="32" fillId="3" borderId="0" xfId="7" applyFont="1" applyFill="1" applyBorder="1" applyAlignment="1" applyProtection="1">
      <alignment horizontal="right" vertical="center"/>
      <protection locked="0" hidden="1"/>
    </xf>
    <xf numFmtId="0" fontId="32" fillId="3" borderId="31" xfId="7" applyFont="1" applyFill="1" applyBorder="1" applyAlignment="1" applyProtection="1">
      <alignment horizontal="center" vertical="center"/>
      <protection locked="0" hidden="1"/>
    </xf>
    <xf numFmtId="173" fontId="74" fillId="8" borderId="0" xfId="8" applyNumberFormat="1" applyFont="1" applyFill="1" applyBorder="1" applyAlignment="1" applyProtection="1">
      <alignment horizontal="center" vertical="center"/>
      <protection hidden="1"/>
    </xf>
    <xf numFmtId="10" fontId="149" fillId="3" borderId="0" xfId="7" applyNumberFormat="1" applyFont="1" applyFill="1" applyProtection="1">
      <protection locked="0" hidden="1"/>
    </xf>
    <xf numFmtId="0" fontId="149" fillId="3" borderId="0" xfId="7" applyFont="1" applyFill="1" applyProtection="1">
      <protection locked="0" hidden="1"/>
    </xf>
    <xf numFmtId="10" fontId="77" fillId="3" borderId="5" xfId="7" applyNumberFormat="1" applyFont="1" applyFill="1" applyBorder="1" applyProtection="1">
      <protection locked="0" hidden="1"/>
    </xf>
    <xf numFmtId="10" fontId="149" fillId="3" borderId="5" xfId="7" applyNumberFormat="1" applyFont="1" applyFill="1" applyBorder="1" applyProtection="1">
      <protection locked="0" hidden="1"/>
    </xf>
    <xf numFmtId="0" fontId="150" fillId="3" borderId="5" xfId="7" applyFont="1" applyFill="1" applyBorder="1" applyAlignment="1" applyProtection="1">
      <alignment horizontal="left" wrapText="1"/>
      <protection locked="0" hidden="1"/>
    </xf>
    <xf numFmtId="10" fontId="151" fillId="3" borderId="5" xfId="8" applyNumberFormat="1" applyFont="1" applyFill="1" applyBorder="1" applyProtection="1">
      <protection locked="0" hidden="1"/>
    </xf>
    <xf numFmtId="9" fontId="149" fillId="3" borderId="5" xfId="7" applyNumberFormat="1" applyFont="1" applyFill="1" applyBorder="1" applyAlignment="1" applyProtection="1">
      <alignment horizontal="left"/>
      <protection locked="0" hidden="1"/>
    </xf>
    <xf numFmtId="10" fontId="151" fillId="3" borderId="0" xfId="8" applyNumberFormat="1" applyFont="1" applyFill="1" applyBorder="1" applyProtection="1">
      <protection locked="0" hidden="1"/>
    </xf>
    <xf numFmtId="9" fontId="149" fillId="3" borderId="0" xfId="7" applyNumberFormat="1" applyFont="1" applyFill="1" applyBorder="1" applyAlignment="1" applyProtection="1">
      <alignment horizontal="left"/>
      <protection locked="0" hidden="1"/>
    </xf>
    <xf numFmtId="9" fontId="149" fillId="3" borderId="0" xfId="7" applyNumberFormat="1" applyFont="1" applyFill="1" applyProtection="1">
      <protection locked="0" hidden="1"/>
    </xf>
    <xf numFmtId="9" fontId="149" fillId="3" borderId="5" xfId="7" applyNumberFormat="1" applyFont="1" applyFill="1" applyBorder="1" applyProtection="1">
      <protection locked="0" hidden="1"/>
    </xf>
    <xf numFmtId="0" fontId="151" fillId="3" borderId="5" xfId="7" applyFont="1" applyFill="1" applyBorder="1" applyAlignment="1" applyProtection="1">
      <alignment horizontal="left" wrapText="1"/>
      <protection locked="0" hidden="1"/>
    </xf>
    <xf numFmtId="0" fontId="149" fillId="3" borderId="5" xfId="7" applyFont="1" applyFill="1" applyBorder="1" applyProtection="1">
      <protection locked="0" hidden="1"/>
    </xf>
    <xf numFmtId="0" fontId="152" fillId="3" borderId="5" xfId="7" applyFont="1" applyFill="1" applyBorder="1" applyAlignment="1" applyProtection="1">
      <alignment wrapText="1"/>
      <protection locked="0" hidden="1"/>
    </xf>
    <xf numFmtId="10" fontId="152" fillId="3" borderId="5" xfId="7" applyNumberFormat="1" applyFont="1" applyFill="1" applyBorder="1" applyAlignment="1" applyProtection="1">
      <alignment horizontal="center"/>
      <protection locked="0" hidden="1"/>
    </xf>
    <xf numFmtId="0" fontId="149" fillId="3" borderId="5" xfId="7" applyFont="1" applyFill="1" applyBorder="1" applyAlignment="1" applyProtection="1">
      <alignment vertical="center"/>
      <protection locked="0" hidden="1"/>
    </xf>
    <xf numFmtId="10" fontId="98" fillId="3" borderId="0" xfId="8" applyNumberFormat="1" applyFont="1" applyFill="1" applyAlignment="1" applyProtection="1">
      <alignment horizontal="center"/>
      <protection locked="0" hidden="1"/>
    </xf>
    <xf numFmtId="0" fontId="98" fillId="3" borderId="0" xfId="7" applyFont="1" applyFill="1" applyAlignment="1" applyProtection="1">
      <alignment horizontal="center"/>
      <protection locked="0" hidden="1"/>
    </xf>
    <xf numFmtId="9" fontId="98" fillId="3" borderId="0" xfId="8" applyFont="1" applyFill="1" applyAlignment="1" applyProtection="1">
      <alignment horizontal="center"/>
      <protection locked="0" hidden="1"/>
    </xf>
    <xf numFmtId="0" fontId="98" fillId="3" borderId="5" xfId="7" applyFont="1" applyFill="1" applyBorder="1" applyAlignment="1" applyProtection="1">
      <alignment horizontal="center"/>
      <protection locked="0" hidden="1"/>
    </xf>
    <xf numFmtId="0" fontId="98" fillId="3" borderId="5" xfId="7" applyFont="1" applyFill="1" applyBorder="1" applyAlignment="1" applyProtection="1">
      <alignment horizontal="center" vertical="center"/>
      <protection locked="0" hidden="1"/>
    </xf>
    <xf numFmtId="0" fontId="98" fillId="3" borderId="0" xfId="7" applyFont="1" applyFill="1" applyBorder="1" applyAlignment="1" applyProtection="1">
      <alignment horizontal="center" vertical="center"/>
      <protection locked="0" hidden="1"/>
    </xf>
    <xf numFmtId="0" fontId="132" fillId="3" borderId="0" xfId="7" applyFont="1" applyFill="1" applyBorder="1" applyAlignment="1" applyProtection="1">
      <alignment horizontal="center"/>
      <protection locked="0" hidden="1"/>
    </xf>
    <xf numFmtId="0" fontId="132" fillId="3" borderId="0" xfId="7" applyFont="1" applyFill="1" applyAlignment="1" applyProtection="1">
      <alignment horizontal="center"/>
      <protection locked="0" hidden="1"/>
    </xf>
    <xf numFmtId="0" fontId="153" fillId="3" borderId="0" xfId="7" applyFont="1" applyFill="1" applyAlignment="1" applyProtection="1">
      <alignment horizontal="center"/>
      <protection locked="0" hidden="1"/>
    </xf>
    <xf numFmtId="0" fontId="132" fillId="3" borderId="0" xfId="7" applyFont="1" applyFill="1" applyAlignment="1" applyProtection="1">
      <alignment horizontal="center" vertical="top"/>
      <protection locked="0" hidden="1"/>
    </xf>
    <xf numFmtId="0" fontId="153" fillId="3" borderId="17" xfId="7" applyFont="1" applyFill="1" applyBorder="1" applyAlignment="1" applyProtection="1">
      <alignment horizontal="center" wrapText="1"/>
      <protection locked="0" hidden="1"/>
    </xf>
    <xf numFmtId="0" fontId="98" fillId="3" borderId="0" xfId="7" applyFont="1" applyFill="1" applyBorder="1" applyAlignment="1" applyProtection="1">
      <alignment horizontal="center"/>
      <protection locked="0" hidden="1"/>
    </xf>
    <xf numFmtId="0" fontId="132" fillId="3" borderId="9" xfId="7" applyFont="1" applyFill="1" applyBorder="1" applyAlignment="1" applyProtection="1">
      <alignment horizontal="center"/>
      <protection locked="0" hidden="1"/>
    </xf>
    <xf numFmtId="0" fontId="132" fillId="3" borderId="0" xfId="7" applyFont="1" applyFill="1" applyBorder="1" applyAlignment="1" applyProtection="1">
      <alignment horizontal="center" wrapText="1"/>
      <protection locked="0" hidden="1"/>
    </xf>
    <xf numFmtId="0" fontId="132" fillId="3" borderId="0" xfId="7" applyFont="1" applyFill="1" applyBorder="1" applyAlignment="1" applyProtection="1">
      <alignment horizontal="center" vertical="top"/>
      <protection locked="0" hidden="1"/>
    </xf>
    <xf numFmtId="0" fontId="132" fillId="3" borderId="8" xfId="7" applyFont="1" applyFill="1" applyBorder="1" applyAlignment="1" applyProtection="1">
      <alignment horizontal="center"/>
      <protection locked="0" hidden="1"/>
    </xf>
    <xf numFmtId="9" fontId="149" fillId="3" borderId="116" xfId="7" applyNumberFormat="1" applyFont="1" applyFill="1" applyBorder="1" applyAlignment="1" applyProtection="1">
      <alignment horizontal="left"/>
      <protection locked="0" hidden="1"/>
    </xf>
    <xf numFmtId="10" fontId="98" fillId="14" borderId="1" xfId="8" applyNumberFormat="1" applyFont="1" applyFill="1" applyBorder="1" applyAlignment="1" applyProtection="1">
      <alignment horizontal="center"/>
      <protection locked="0" hidden="1"/>
    </xf>
    <xf numFmtId="0" fontId="98" fillId="14" borderId="1" xfId="7" applyFont="1" applyFill="1" applyBorder="1" applyAlignment="1" applyProtection="1">
      <alignment horizontal="center"/>
      <protection locked="0" hidden="1"/>
    </xf>
    <xf numFmtId="9" fontId="98" fillId="14" borderId="1" xfId="8" applyFont="1" applyFill="1" applyBorder="1" applyAlignment="1" applyProtection="1">
      <alignment horizontal="center"/>
      <protection locked="0" hidden="1"/>
    </xf>
    <xf numFmtId="0" fontId="5" fillId="0" borderId="120" xfId="10" applyFont="1" applyBorder="1"/>
    <xf numFmtId="0" fontId="5" fillId="0" borderId="50" xfId="10" applyFont="1" applyBorder="1"/>
    <xf numFmtId="0" fontId="5" fillId="0" borderId="37" xfId="10" applyFont="1" applyBorder="1"/>
    <xf numFmtId="0" fontId="138" fillId="5" borderId="58" xfId="10" applyFont="1" applyFill="1" applyBorder="1" applyAlignment="1" applyProtection="1">
      <alignment horizontal="left"/>
      <protection hidden="1"/>
    </xf>
    <xf numFmtId="0" fontId="8" fillId="0" borderId="0" xfId="10" applyBorder="1" applyAlignment="1">
      <alignment horizontal="center"/>
    </xf>
    <xf numFmtId="10" fontId="0" fillId="0" borderId="0" xfId="11" applyNumberFormat="1" applyFont="1" applyBorder="1" applyAlignment="1">
      <alignment horizontal="center"/>
    </xf>
    <xf numFmtId="10" fontId="8" fillId="0" borderId="0" xfId="10" applyNumberFormat="1" applyBorder="1" applyAlignment="1">
      <alignment horizontal="center"/>
    </xf>
    <xf numFmtId="184" fontId="8" fillId="0" borderId="0" xfId="10" applyNumberFormat="1" applyBorder="1" applyAlignment="1">
      <alignment horizontal="center"/>
    </xf>
    <xf numFmtId="0" fontId="5" fillId="12" borderId="117" xfId="10" applyFont="1" applyFill="1" applyBorder="1"/>
    <xf numFmtId="10" fontId="8" fillId="12" borderId="117" xfId="8" applyNumberFormat="1" applyFont="1" applyFill="1" applyBorder="1" applyAlignment="1">
      <alignment horizontal="center"/>
    </xf>
    <xf numFmtId="10" fontId="8" fillId="12" borderId="117" xfId="10" applyNumberFormat="1" applyFill="1" applyBorder="1" applyAlignment="1">
      <alignment horizontal="center"/>
    </xf>
    <xf numFmtId="184" fontId="0" fillId="0" borderId="37" xfId="11" applyNumberFormat="1" applyFont="1" applyBorder="1" applyAlignment="1">
      <alignment horizontal="center"/>
    </xf>
    <xf numFmtId="0" fontId="32" fillId="3" borderId="10" xfId="7" applyFont="1" applyFill="1" applyBorder="1" applyAlignment="1" applyProtection="1">
      <alignment horizontal="right" vertical="top" indent="2"/>
      <protection hidden="1"/>
    </xf>
    <xf numFmtId="0" fontId="32" fillId="3" borderId="0" xfId="7" applyFont="1" applyFill="1" applyBorder="1" applyAlignment="1" applyProtection="1">
      <alignment horizontal="right" vertical="top" indent="2"/>
      <protection hidden="1"/>
    </xf>
    <xf numFmtId="0" fontId="80" fillId="16" borderId="0" xfId="7" applyFont="1" applyFill="1" applyProtection="1">
      <protection locked="0" hidden="1"/>
    </xf>
    <xf numFmtId="0" fontId="80" fillId="17" borderId="0" xfId="7" applyFont="1" applyFill="1" applyProtection="1">
      <protection locked="0" hidden="1"/>
    </xf>
    <xf numFmtId="0" fontId="29" fillId="3" borderId="121" xfId="7" applyFont="1" applyFill="1" applyBorder="1" applyProtection="1">
      <protection hidden="1"/>
    </xf>
    <xf numFmtId="0" fontId="28" fillId="3" borderId="121" xfId="7" applyFont="1" applyFill="1" applyBorder="1" applyAlignment="1" applyProtection="1">
      <protection hidden="1"/>
    </xf>
    <xf numFmtId="0" fontId="28" fillId="3" borderId="122" xfId="7" applyFont="1" applyFill="1" applyBorder="1" applyProtection="1">
      <protection hidden="1"/>
    </xf>
    <xf numFmtId="0" fontId="133" fillId="3" borderId="0" xfId="7" applyFont="1" applyFill="1" applyBorder="1" applyAlignment="1" applyProtection="1">
      <alignment vertical="top" wrapText="1"/>
      <protection hidden="1"/>
    </xf>
    <xf numFmtId="3" fontId="32" fillId="3" borderId="0" xfId="7" applyNumberFormat="1" applyFont="1" applyFill="1" applyBorder="1" applyAlignment="1" applyProtection="1">
      <alignment horizontal="right" vertical="center"/>
      <protection hidden="1"/>
    </xf>
    <xf numFmtId="0" fontId="32" fillId="3" borderId="123" xfId="7" applyFont="1" applyFill="1" applyBorder="1" applyAlignment="1" applyProtection="1">
      <alignment vertical="center"/>
      <protection hidden="1"/>
    </xf>
    <xf numFmtId="0" fontId="80" fillId="3" borderId="122" xfId="7" applyFont="1" applyFill="1" applyBorder="1" applyProtection="1">
      <protection locked="0" hidden="1"/>
    </xf>
    <xf numFmtId="0" fontId="80" fillId="3" borderId="124" xfId="7" applyFont="1" applyFill="1" applyBorder="1" applyProtection="1">
      <protection locked="0" hidden="1"/>
    </xf>
    <xf numFmtId="0" fontId="80" fillId="3" borderId="1" xfId="7" applyFont="1" applyFill="1" applyBorder="1" applyProtection="1">
      <protection locked="0" hidden="1"/>
    </xf>
    <xf numFmtId="0" fontId="29" fillId="3" borderId="1" xfId="7" applyFont="1" applyFill="1" applyBorder="1" applyAlignment="1" applyProtection="1">
      <alignment vertical="center"/>
      <protection hidden="1"/>
    </xf>
    <xf numFmtId="0" fontId="80" fillId="3" borderId="1" xfId="7" applyFont="1" applyFill="1" applyBorder="1" applyAlignment="1" applyProtection="1">
      <alignment horizontal="center"/>
      <protection locked="0" hidden="1"/>
    </xf>
    <xf numFmtId="0" fontId="29" fillId="3" borderId="1" xfId="7" applyFont="1" applyFill="1" applyBorder="1" applyAlignment="1" applyProtection="1">
      <alignment horizontal="center" vertical="center"/>
      <protection hidden="1"/>
    </xf>
    <xf numFmtId="172" fontId="90" fillId="8" borderId="31" xfId="8" applyNumberFormat="1" applyFont="1" applyFill="1" applyBorder="1" applyAlignment="1" applyProtection="1">
      <alignment horizontal="center" vertical="center"/>
      <protection hidden="1"/>
    </xf>
    <xf numFmtId="0" fontId="80" fillId="3" borderId="123" xfId="7" applyFont="1" applyFill="1" applyBorder="1" applyProtection="1">
      <protection locked="0" hidden="1"/>
    </xf>
    <xf numFmtId="0" fontId="80" fillId="3" borderId="1" xfId="7" applyFont="1" applyFill="1" applyBorder="1" applyAlignment="1" applyProtection="1">
      <alignment vertical="center"/>
      <protection locked="0" hidden="1"/>
    </xf>
    <xf numFmtId="173" fontId="80" fillId="3" borderId="1" xfId="7" applyNumberFormat="1" applyFont="1" applyFill="1" applyBorder="1" applyAlignment="1" applyProtection="1">
      <alignment horizontal="center" vertical="center"/>
      <protection locked="0" hidden="1"/>
    </xf>
    <xf numFmtId="169" fontId="32" fillId="3" borderId="31" xfId="3" applyNumberFormat="1" applyFont="1" applyFill="1" applyBorder="1" applyAlignment="1" applyProtection="1">
      <alignment horizontal="center" vertical="center"/>
      <protection locked="0"/>
    </xf>
    <xf numFmtId="185" fontId="74" fillId="8" borderId="31" xfId="7" applyNumberFormat="1" applyFont="1" applyFill="1" applyBorder="1" applyAlignment="1" applyProtection="1">
      <alignment horizontal="center" vertical="center"/>
      <protection hidden="1"/>
    </xf>
    <xf numFmtId="173" fontId="156" fillId="0" borderId="0" xfId="0" applyNumberFormat="1" applyFont="1" applyAlignment="1">
      <alignment horizontal="left" vertical="center"/>
    </xf>
    <xf numFmtId="0" fontId="80" fillId="3" borderId="125" xfId="7" applyFont="1" applyFill="1" applyBorder="1" applyAlignment="1" applyProtection="1">
      <alignment vertical="center"/>
      <protection locked="0" hidden="1"/>
    </xf>
    <xf numFmtId="0" fontId="80" fillId="10" borderId="37" xfId="7" applyFont="1" applyFill="1" applyBorder="1" applyAlignment="1" applyProtection="1">
      <alignment horizontal="center"/>
      <protection locked="0" hidden="1"/>
    </xf>
    <xf numFmtId="173" fontId="80" fillId="3" borderId="1" xfId="7" applyNumberFormat="1" applyFont="1" applyFill="1" applyBorder="1" applyAlignment="1" applyProtection="1">
      <alignment horizontal="center"/>
      <protection locked="0" hidden="1"/>
    </xf>
    <xf numFmtId="0" fontId="80" fillId="3" borderId="127" xfId="7" applyFont="1" applyFill="1" applyBorder="1" applyAlignment="1" applyProtection="1">
      <alignment vertical="center"/>
      <protection locked="0" hidden="1"/>
    </xf>
    <xf numFmtId="0" fontId="80" fillId="3" borderId="124" xfId="7" applyFont="1" applyFill="1" applyBorder="1" applyAlignment="1" applyProtection="1">
      <alignment vertical="center"/>
      <protection locked="0" hidden="1"/>
    </xf>
    <xf numFmtId="0" fontId="80" fillId="3" borderId="117" xfId="7" applyFont="1" applyFill="1" applyBorder="1" applyAlignment="1" applyProtection="1">
      <alignment vertical="center"/>
      <protection locked="0" hidden="1"/>
    </xf>
    <xf numFmtId="173" fontId="80" fillId="3" borderId="117" xfId="7" applyNumberFormat="1" applyFont="1" applyFill="1" applyBorder="1" applyAlignment="1" applyProtection="1">
      <alignment vertical="center"/>
      <protection locked="0" hidden="1"/>
    </xf>
    <xf numFmtId="0" fontId="80" fillId="3" borderId="126" xfId="7" applyFont="1" applyFill="1" applyBorder="1" applyAlignment="1" applyProtection="1">
      <alignment vertical="center"/>
      <protection locked="0" hidden="1"/>
    </xf>
    <xf numFmtId="0" fontId="80" fillId="3" borderId="126" xfId="7" applyFont="1" applyFill="1" applyBorder="1" applyProtection="1">
      <protection locked="0" hidden="1"/>
    </xf>
    <xf numFmtId="173" fontId="80" fillId="3" borderId="126" xfId="7" applyNumberFormat="1" applyFont="1" applyFill="1" applyBorder="1" applyProtection="1">
      <protection locked="0" hidden="1"/>
    </xf>
    <xf numFmtId="14" fontId="0" fillId="0" borderId="0" xfId="0" applyNumberFormat="1"/>
    <xf numFmtId="9" fontId="0" fillId="0" borderId="0" xfId="0" applyNumberFormat="1"/>
    <xf numFmtId="1" fontId="0" fillId="0" borderId="0" xfId="0" applyNumberFormat="1"/>
    <xf numFmtId="165" fontId="0" fillId="0" borderId="0" xfId="0" applyNumberFormat="1"/>
    <xf numFmtId="0" fontId="158" fillId="18" borderId="128" xfId="12" applyFont="1" applyFill="1" applyBorder="1" applyAlignment="1">
      <alignment horizontal="center"/>
    </xf>
    <xf numFmtId="173" fontId="8" fillId="15" borderId="37" xfId="10" applyNumberFormat="1" applyFill="1" applyBorder="1" applyAlignment="1" applyProtection="1">
      <alignment horizontal="center"/>
    </xf>
    <xf numFmtId="173" fontId="8" fillId="15" borderId="110" xfId="10" applyNumberFormat="1" applyFill="1" applyBorder="1" applyAlignment="1" applyProtection="1">
      <alignment horizontal="center"/>
    </xf>
    <xf numFmtId="172" fontId="0" fillId="5" borderId="1" xfId="11" applyNumberFormat="1" applyFont="1" applyFill="1" applyBorder="1" applyAlignment="1">
      <alignment horizontal="center" vertical="center"/>
    </xf>
    <xf numFmtId="172" fontId="8" fillId="14" borderId="99" xfId="10" applyNumberFormat="1" applyFill="1" applyBorder="1" applyAlignment="1">
      <alignment horizontal="center"/>
    </xf>
    <xf numFmtId="172" fontId="8" fillId="14" borderId="1" xfId="10" applyNumberFormat="1" applyFill="1" applyBorder="1" applyAlignment="1">
      <alignment horizontal="center"/>
    </xf>
    <xf numFmtId="172" fontId="8" fillId="14" borderId="110" xfId="10" applyNumberFormat="1" applyFill="1" applyBorder="1" applyAlignment="1">
      <alignment horizontal="center"/>
    </xf>
    <xf numFmtId="172" fontId="8" fillId="14" borderId="37" xfId="10" applyNumberFormat="1" applyFill="1" applyBorder="1" applyAlignment="1" applyProtection="1">
      <alignment horizontal="center"/>
    </xf>
    <xf numFmtId="172" fontId="8" fillId="14" borderId="1" xfId="10" applyNumberFormat="1" applyFill="1" applyBorder="1" applyAlignment="1" applyProtection="1">
      <alignment horizontal="center"/>
    </xf>
    <xf numFmtId="172" fontId="8" fillId="14" borderId="110" xfId="10" applyNumberFormat="1" applyFill="1" applyBorder="1" applyAlignment="1" applyProtection="1">
      <alignment horizontal="center"/>
    </xf>
    <xf numFmtId="173" fontId="80" fillId="3" borderId="117" xfId="7" applyNumberFormat="1" applyFont="1" applyFill="1" applyBorder="1" applyAlignment="1" applyProtection="1">
      <alignment horizontal="center" vertical="top" wrapText="1"/>
      <protection hidden="1"/>
    </xf>
    <xf numFmtId="1" fontId="80" fillId="3" borderId="117" xfId="7" applyNumberFormat="1" applyFont="1" applyFill="1" applyBorder="1" applyAlignment="1" applyProtection="1">
      <alignment horizontal="center" vertical="top" wrapText="1"/>
      <protection hidden="1"/>
    </xf>
    <xf numFmtId="9" fontId="28" fillId="3" borderId="0" xfId="7" applyNumberFormat="1" applyFont="1" applyFill="1" applyProtection="1">
      <protection hidden="1"/>
    </xf>
    <xf numFmtId="0" fontId="150" fillId="3" borderId="0" xfId="7" applyFont="1" applyFill="1" applyBorder="1" applyAlignment="1" applyProtection="1">
      <alignment vertical="top" wrapText="1"/>
      <protection hidden="1"/>
    </xf>
    <xf numFmtId="0" fontId="154" fillId="0" borderId="0" xfId="0" applyFont="1" applyAlignment="1">
      <alignment vertical="top" wrapText="1"/>
    </xf>
    <xf numFmtId="0" fontId="80" fillId="10" borderId="117" xfId="7" applyFont="1" applyFill="1" applyBorder="1" applyAlignment="1" applyProtection="1">
      <alignment vertical="center"/>
      <protection locked="0" hidden="1"/>
    </xf>
    <xf numFmtId="0" fontId="80" fillId="10" borderId="117" xfId="7" applyFont="1" applyFill="1" applyBorder="1" applyAlignment="1" applyProtection="1">
      <alignment horizontal="center"/>
      <protection locked="0" hidden="1"/>
    </xf>
    <xf numFmtId="0" fontId="80" fillId="10" borderId="120" xfId="7" applyFont="1" applyFill="1" applyBorder="1" applyAlignment="1" applyProtection="1">
      <alignment horizontal="center"/>
      <protection locked="0" hidden="1"/>
    </xf>
    <xf numFmtId="0" fontId="57" fillId="3" borderId="0" xfId="7" applyFont="1" applyFill="1" applyBorder="1" applyAlignment="1" applyProtection="1">
      <alignment horizontal="right" wrapText="1"/>
      <protection hidden="1"/>
    </xf>
    <xf numFmtId="173" fontId="57" fillId="3" borderId="31" xfId="7" applyNumberFormat="1" applyFont="1" applyFill="1" applyBorder="1" applyAlignment="1" applyProtection="1">
      <alignment horizontal="center" wrapText="1"/>
      <protection locked="0"/>
    </xf>
    <xf numFmtId="0" fontId="8" fillId="5" borderId="106" xfId="10" applyFill="1" applyBorder="1" applyAlignment="1">
      <alignment horizontal="center"/>
    </xf>
    <xf numFmtId="0" fontId="3" fillId="0" borderId="0" xfId="10" applyFont="1"/>
    <xf numFmtId="0" fontId="0" fillId="0" borderId="0" xfId="0" applyBorder="1" applyAlignment="1">
      <alignment horizontal="center"/>
    </xf>
    <xf numFmtId="49" fontId="57" fillId="3" borderId="0" xfId="7" applyNumberFormat="1" applyFont="1" applyFill="1" applyBorder="1" applyAlignment="1" applyProtection="1">
      <alignment horizontal="left"/>
      <protection locked="0"/>
    </xf>
    <xf numFmtId="0" fontId="0" fillId="0" borderId="0" xfId="0" applyBorder="1" applyAlignment="1" applyProtection="1">
      <alignment horizontal="left"/>
      <protection locked="0"/>
    </xf>
    <xf numFmtId="0" fontId="161" fillId="6" borderId="99" xfId="7" applyFont="1" applyFill="1" applyBorder="1" applyAlignment="1" applyProtection="1">
      <alignment horizontal="center" wrapText="1"/>
      <protection locked="0" hidden="1"/>
    </xf>
    <xf numFmtId="0" fontId="162" fillId="6" borderId="0" xfId="7" applyFont="1" applyFill="1" applyBorder="1" applyProtection="1">
      <protection hidden="1"/>
    </xf>
    <xf numFmtId="0" fontId="161" fillId="6" borderId="1" xfId="7" applyFont="1" applyFill="1" applyBorder="1" applyAlignment="1" applyProtection="1">
      <alignment horizontal="center" wrapText="1"/>
      <protection locked="0" hidden="1"/>
    </xf>
    <xf numFmtId="49" fontId="138" fillId="5" borderId="117" xfId="7" applyNumberFormat="1" applyFont="1" applyFill="1" applyBorder="1" applyAlignment="1" applyProtection="1">
      <alignment horizontal="left"/>
    </xf>
    <xf numFmtId="0" fontId="138" fillId="5" borderId="117" xfId="0" applyFont="1" applyFill="1" applyBorder="1" applyAlignment="1" applyProtection="1">
      <alignment horizontal="left"/>
    </xf>
    <xf numFmtId="0" fontId="28" fillId="3" borderId="130" xfId="7" applyFont="1" applyFill="1" applyBorder="1" applyAlignment="1" applyProtection="1">
      <alignment wrapText="1"/>
      <protection hidden="1"/>
    </xf>
    <xf numFmtId="0" fontId="74" fillId="8" borderId="90" xfId="7" applyFont="1" applyFill="1" applyBorder="1" applyAlignment="1" applyProtection="1">
      <alignment horizontal="left"/>
      <protection hidden="1"/>
    </xf>
    <xf numFmtId="0" fontId="57" fillId="3" borderId="31" xfId="7" applyFont="1" applyFill="1" applyBorder="1" applyAlignment="1" applyProtection="1">
      <alignment horizontal="center" vertical="center"/>
      <protection locked="0" hidden="1"/>
    </xf>
    <xf numFmtId="0" fontId="150" fillId="3" borderId="0" xfId="7" applyFont="1" applyFill="1" applyBorder="1" applyAlignment="1" applyProtection="1">
      <alignment vertical="top" wrapText="1"/>
      <protection hidden="1"/>
    </xf>
    <xf numFmtId="0" fontId="154" fillId="0" borderId="0" xfId="0" applyFont="1" applyAlignment="1">
      <alignment vertical="top" wrapText="1"/>
    </xf>
    <xf numFmtId="173" fontId="149" fillId="3" borderId="0" xfId="8" quotePrefix="1" applyNumberFormat="1" applyFont="1" applyFill="1" applyBorder="1" applyAlignment="1" applyProtection="1">
      <alignment horizontal="right"/>
      <protection hidden="1"/>
    </xf>
    <xf numFmtId="170" fontId="164" fillId="3" borderId="0" xfId="7" applyNumberFormat="1" applyFont="1" applyFill="1" applyBorder="1" applyProtection="1">
      <protection hidden="1"/>
    </xf>
    <xf numFmtId="165" fontId="164" fillId="3" borderId="0" xfId="7" applyNumberFormat="1" applyFont="1" applyFill="1" applyBorder="1" applyProtection="1">
      <protection hidden="1"/>
    </xf>
    <xf numFmtId="0" fontId="2" fillId="0" borderId="0" xfId="10" applyFont="1"/>
    <xf numFmtId="165" fontId="138" fillId="12" borderId="117" xfId="10" applyNumberFormat="1" applyFont="1" applyFill="1" applyBorder="1" applyAlignment="1" applyProtection="1">
      <alignment horizontal="center"/>
      <protection hidden="1"/>
    </xf>
    <xf numFmtId="10" fontId="138" fillId="12" borderId="117" xfId="10" applyNumberFormat="1" applyFont="1" applyFill="1" applyBorder="1" applyAlignment="1" applyProtection="1">
      <alignment horizontal="center"/>
      <protection hidden="1"/>
    </xf>
    <xf numFmtId="165" fontId="165" fillId="12" borderId="117" xfId="11" applyNumberFormat="1" applyFont="1" applyFill="1" applyBorder="1" applyAlignment="1" applyProtection="1">
      <alignment horizontal="center"/>
      <protection hidden="1"/>
    </xf>
    <xf numFmtId="10" fontId="138" fillId="12" borderId="117" xfId="11" applyNumberFormat="1" applyFont="1" applyFill="1" applyBorder="1" applyAlignment="1" applyProtection="1">
      <alignment horizontal="center"/>
      <protection hidden="1"/>
    </xf>
    <xf numFmtId="0" fontId="146" fillId="12" borderId="117" xfId="10" applyFont="1" applyFill="1" applyBorder="1" applyProtection="1">
      <protection hidden="1"/>
    </xf>
    <xf numFmtId="0" fontId="138" fillId="5" borderId="131" xfId="10" applyFont="1" applyFill="1" applyBorder="1" applyAlignment="1" applyProtection="1">
      <alignment horizontal="left"/>
      <protection locked="0"/>
    </xf>
    <xf numFmtId="10" fontId="138" fillId="5" borderId="118" xfId="10" applyNumberFormat="1" applyFont="1" applyFill="1" applyBorder="1" applyAlignment="1" applyProtection="1">
      <alignment horizontal="center"/>
      <protection hidden="1"/>
    </xf>
    <xf numFmtId="0" fontId="138" fillId="5" borderId="119" xfId="10" applyFont="1" applyFill="1" applyBorder="1" applyProtection="1">
      <protection hidden="1"/>
    </xf>
    <xf numFmtId="173" fontId="138" fillId="12" borderId="131" xfId="10" applyNumberFormat="1" applyFont="1" applyFill="1" applyBorder="1" applyAlignment="1" applyProtection="1">
      <alignment horizontal="center"/>
      <protection hidden="1"/>
    </xf>
    <xf numFmtId="173" fontId="165" fillId="12" borderId="44" xfId="11" applyNumberFormat="1" applyFont="1" applyFill="1" applyBorder="1" applyAlignment="1" applyProtection="1">
      <alignment horizontal="center"/>
      <protection hidden="1"/>
    </xf>
    <xf numFmtId="173" fontId="138" fillId="12" borderId="131" xfId="11" applyNumberFormat="1" applyFont="1" applyFill="1" applyBorder="1" applyAlignment="1" applyProtection="1">
      <alignment horizontal="center"/>
      <protection hidden="1"/>
    </xf>
    <xf numFmtId="9" fontId="165" fillId="12" borderId="58" xfId="11" applyFont="1" applyFill="1" applyBorder="1" applyAlignment="1" applyProtection="1">
      <alignment horizontal="center"/>
      <protection hidden="1"/>
    </xf>
    <xf numFmtId="172" fontId="165" fillId="12" borderId="58" xfId="11" applyNumberFormat="1" applyFont="1" applyFill="1" applyBorder="1" applyAlignment="1" applyProtection="1">
      <alignment horizontal="center"/>
      <protection hidden="1"/>
    </xf>
    <xf numFmtId="173" fontId="165" fillId="12" borderId="15" xfId="11" applyNumberFormat="1" applyFont="1" applyFill="1" applyBorder="1" applyAlignment="1" applyProtection="1">
      <alignment horizontal="center"/>
      <protection hidden="1"/>
    </xf>
    <xf numFmtId="0" fontId="57" fillId="3" borderId="0" xfId="7" applyFont="1" applyFill="1" applyBorder="1" applyAlignment="1" applyProtection="1">
      <alignment horizontal="center" vertical="center"/>
      <protection locked="0"/>
    </xf>
    <xf numFmtId="0" fontId="80" fillId="10" borderId="126" xfId="7" applyFont="1" applyFill="1" applyBorder="1" applyAlignment="1" applyProtection="1">
      <alignment vertical="center"/>
      <protection locked="0" hidden="1"/>
    </xf>
    <xf numFmtId="0" fontId="80" fillId="10" borderId="126" xfId="7" applyFont="1" applyFill="1" applyBorder="1" applyAlignment="1" applyProtection="1">
      <alignment horizontal="center"/>
      <protection locked="0" hidden="1"/>
    </xf>
    <xf numFmtId="0" fontId="80" fillId="10" borderId="132" xfId="7" applyFont="1" applyFill="1" applyBorder="1" applyAlignment="1" applyProtection="1">
      <alignment horizontal="center"/>
      <protection locked="0" hidden="1"/>
    </xf>
    <xf numFmtId="10" fontId="164" fillId="3" borderId="0" xfId="7" applyNumberFormat="1" applyFont="1" applyFill="1" applyBorder="1" applyAlignment="1" applyProtection="1">
      <protection hidden="1"/>
    </xf>
    <xf numFmtId="0" fontId="8" fillId="0" borderId="119" xfId="10" applyBorder="1"/>
    <xf numFmtId="0" fontId="8" fillId="0" borderId="131" xfId="10" applyBorder="1"/>
    <xf numFmtId="0" fontId="138" fillId="5" borderId="131" xfId="10" applyFont="1" applyFill="1" applyBorder="1" applyAlignment="1" applyProtection="1">
      <alignment horizontal="left"/>
      <protection hidden="1"/>
    </xf>
    <xf numFmtId="173" fontId="164" fillId="3" borderId="0" xfId="7" applyNumberFormat="1" applyFont="1" applyFill="1" applyBorder="1" applyAlignment="1" applyProtection="1">
      <alignment wrapText="1"/>
      <protection hidden="1"/>
    </xf>
    <xf numFmtId="173" fontId="86" fillId="6" borderId="0" xfId="7" applyNumberFormat="1" applyFont="1" applyFill="1" applyBorder="1" applyProtection="1">
      <protection hidden="1"/>
    </xf>
    <xf numFmtId="9" fontId="53" fillId="0" borderId="1" xfId="7" applyNumberFormat="1" applyFont="1" applyFill="1" applyBorder="1" applyAlignment="1">
      <alignment vertical="center"/>
    </xf>
    <xf numFmtId="9" fontId="63" fillId="0" borderId="1" xfId="7" applyNumberFormat="1" applyFont="1" applyFill="1" applyBorder="1" applyProtection="1">
      <protection locked="0" hidden="1"/>
    </xf>
    <xf numFmtId="9" fontId="57" fillId="3" borderId="31" xfId="8" applyFont="1" applyFill="1" applyBorder="1" applyAlignment="1" applyProtection="1">
      <alignment horizontal="center"/>
      <protection locked="0"/>
    </xf>
    <xf numFmtId="0" fontId="1" fillId="0" borderId="0" xfId="10" applyFont="1" applyAlignment="1">
      <alignment horizontal="center" wrapText="1"/>
    </xf>
    <xf numFmtId="173" fontId="8" fillId="15" borderId="1" xfId="10" applyNumberFormat="1" applyFill="1" applyBorder="1" applyAlignment="1">
      <alignment horizontal="center"/>
    </xf>
    <xf numFmtId="173" fontId="1" fillId="15" borderId="1" xfId="10" applyNumberFormat="1" applyFont="1" applyFill="1" applyBorder="1" applyAlignment="1">
      <alignment horizontal="center"/>
    </xf>
    <xf numFmtId="173" fontId="8" fillId="15" borderId="1" xfId="10" applyNumberFormat="1" applyFill="1" applyBorder="1" applyAlignment="1" applyProtection="1">
      <alignment horizontal="center"/>
    </xf>
    <xf numFmtId="0" fontId="1" fillId="0" borderId="0" xfId="10" applyFont="1"/>
    <xf numFmtId="172" fontId="1" fillId="0" borderId="0" xfId="10" applyNumberFormat="1" applyFont="1"/>
    <xf numFmtId="0" fontId="80" fillId="3" borderId="116" xfId="7" applyFont="1" applyFill="1" applyBorder="1" applyProtection="1">
      <protection locked="0" hidden="1"/>
    </xf>
    <xf numFmtId="0" fontId="80" fillId="3" borderId="116" xfId="7" applyFont="1" applyFill="1" applyBorder="1" applyAlignment="1" applyProtection="1">
      <alignment vertical="center"/>
      <protection locked="0" hidden="1"/>
    </xf>
    <xf numFmtId="0" fontId="80" fillId="3" borderId="136" xfId="7" applyFont="1" applyFill="1" applyBorder="1" applyProtection="1">
      <protection locked="0" hidden="1"/>
    </xf>
    <xf numFmtId="0" fontId="80" fillId="3" borderId="136" xfId="7" applyFont="1" applyFill="1" applyBorder="1" applyAlignment="1" applyProtection="1">
      <alignment vertical="center"/>
      <protection locked="0" hidden="1"/>
    </xf>
    <xf numFmtId="0" fontId="80" fillId="3" borderId="137" xfId="7" applyFont="1" applyFill="1" applyBorder="1" applyProtection="1">
      <protection locked="0" hidden="1"/>
    </xf>
    <xf numFmtId="173" fontId="80" fillId="3" borderId="1" xfId="7" applyNumberFormat="1" applyFont="1" applyFill="1" applyBorder="1" applyProtection="1">
      <protection locked="0" hidden="1"/>
    </xf>
    <xf numFmtId="173" fontId="80" fillId="3" borderId="1" xfId="7" applyNumberFormat="1" applyFont="1" applyFill="1" applyBorder="1" applyAlignment="1" applyProtection="1">
      <alignment vertical="center"/>
      <protection locked="0" hidden="1"/>
    </xf>
    <xf numFmtId="186" fontId="80" fillId="3" borderId="1" xfId="7" applyNumberFormat="1" applyFont="1" applyFill="1" applyBorder="1" applyAlignment="1" applyProtection="1">
      <alignment vertical="center"/>
      <protection locked="0" hidden="1"/>
    </xf>
    <xf numFmtId="9" fontId="28" fillId="3" borderId="2" xfId="8" applyNumberFormat="1" applyFont="1" applyFill="1" applyBorder="1" applyAlignment="1" applyProtection="1">
      <alignment horizontal="center"/>
      <protection hidden="1"/>
    </xf>
    <xf numFmtId="9" fontId="28" fillId="3" borderId="3" xfId="8" applyNumberFormat="1" applyFont="1" applyFill="1" applyBorder="1" applyAlignment="1" applyProtection="1">
      <alignment horizontal="center"/>
      <protection hidden="1"/>
    </xf>
    <xf numFmtId="9" fontId="28" fillId="3" borderId="4" xfId="8" applyNumberFormat="1" applyFont="1" applyFill="1" applyBorder="1" applyAlignment="1" applyProtection="1">
      <alignment horizontal="center"/>
      <protection hidden="1"/>
    </xf>
    <xf numFmtId="9" fontId="28" fillId="3" borderId="39" xfId="8" applyNumberFormat="1" applyFont="1" applyFill="1" applyBorder="1" applyAlignment="1" applyProtection="1">
      <alignment horizontal="center"/>
      <protection hidden="1"/>
    </xf>
    <xf numFmtId="0" fontId="5" fillId="12" borderId="117" xfId="10" applyFont="1" applyFill="1" applyBorder="1" applyAlignment="1"/>
    <xf numFmtId="0" fontId="0" fillId="12" borderId="117" xfId="0" applyFill="1" applyBorder="1" applyAlignment="1"/>
    <xf numFmtId="0" fontId="20" fillId="0" borderId="0" xfId="0" applyFont="1" applyAlignment="1" applyProtection="1">
      <alignment horizontal="left" wrapText="1"/>
      <protection hidden="1"/>
    </xf>
    <xf numFmtId="0" fontId="8" fillId="0" borderId="57" xfId="10" applyBorder="1" applyAlignment="1">
      <alignment horizontal="center" vertical="center" wrapText="1"/>
    </xf>
    <xf numFmtId="0" fontId="8" fillId="0" borderId="36" xfId="10" applyBorder="1" applyAlignment="1">
      <alignment horizontal="center" vertical="center" wrapText="1"/>
    </xf>
    <xf numFmtId="0" fontId="8" fillId="0" borderId="47" xfId="10" applyBorder="1" applyAlignment="1">
      <alignment horizontal="center" vertical="center" wrapText="1"/>
    </xf>
    <xf numFmtId="0" fontId="142" fillId="0" borderId="0" xfId="10" applyFont="1" applyAlignment="1">
      <alignment horizontal="center" wrapText="1"/>
    </xf>
    <xf numFmtId="0" fontId="142" fillId="0" borderId="0" xfId="10" applyFont="1" applyAlignment="1">
      <alignment horizontal="center"/>
    </xf>
    <xf numFmtId="0" fontId="112" fillId="0" borderId="0" xfId="10" applyFont="1" applyAlignment="1">
      <alignment horizontal="center" wrapText="1"/>
    </xf>
    <xf numFmtId="0" fontId="8" fillId="0" borderId="0" xfId="10" applyAlignment="1">
      <alignment horizontal="center"/>
    </xf>
    <xf numFmtId="0" fontId="8" fillId="0" borderId="14" xfId="10" applyBorder="1" applyAlignment="1">
      <alignment horizontal="center" vertical="center" wrapText="1"/>
    </xf>
    <xf numFmtId="0" fontId="8" fillId="0" borderId="9" xfId="10" applyBorder="1" applyAlignment="1">
      <alignment horizontal="center" vertical="center" wrapText="1"/>
    </xf>
    <xf numFmtId="0" fontId="8" fillId="0" borderId="30" xfId="10" applyBorder="1" applyAlignment="1">
      <alignment horizontal="center" vertical="center" wrapText="1"/>
    </xf>
    <xf numFmtId="0" fontId="39" fillId="3" borderId="10" xfId="7" applyFont="1" applyFill="1" applyBorder="1" applyAlignment="1" applyProtection="1">
      <alignment horizontal="left" vertical="top" wrapText="1"/>
      <protection hidden="1"/>
    </xf>
    <xf numFmtId="0" fontId="0" fillId="0" borderId="0" xfId="0" applyAlignment="1">
      <alignment horizontal="left" vertical="top" wrapText="1"/>
    </xf>
    <xf numFmtId="0" fontId="76" fillId="3" borderId="54" xfId="7" applyFont="1" applyFill="1" applyBorder="1" applyAlignment="1" applyProtection="1">
      <alignment horizontal="left"/>
      <protection locked="0" hidden="1"/>
    </xf>
    <xf numFmtId="0" fontId="76" fillId="3" borderId="55" xfId="7" applyFont="1" applyFill="1" applyBorder="1" applyAlignment="1" applyProtection="1">
      <alignment horizontal="left"/>
      <protection locked="0" hidden="1"/>
    </xf>
    <xf numFmtId="0" fontId="76" fillId="3" borderId="56" xfId="7" applyFont="1" applyFill="1" applyBorder="1" applyAlignment="1" applyProtection="1">
      <alignment horizontal="left"/>
      <protection locked="0" hidden="1"/>
    </xf>
    <xf numFmtId="0" fontId="76" fillId="3" borderId="40" xfId="7" applyFont="1" applyFill="1" applyBorder="1" applyAlignment="1" applyProtection="1">
      <alignment horizontal="left"/>
      <protection locked="0" hidden="1"/>
    </xf>
    <xf numFmtId="0" fontId="76" fillId="3" borderId="52" xfId="7" applyFont="1" applyFill="1" applyBorder="1" applyAlignment="1" applyProtection="1">
      <alignment horizontal="left"/>
      <protection locked="0" hidden="1"/>
    </xf>
    <xf numFmtId="0" fontId="76" fillId="3" borderId="53" xfId="7" applyFont="1" applyFill="1" applyBorder="1" applyAlignment="1" applyProtection="1">
      <alignment horizontal="left"/>
      <protection locked="0" hidden="1"/>
    </xf>
    <xf numFmtId="0" fontId="98" fillId="3" borderId="11" xfId="7" applyFont="1" applyFill="1" applyBorder="1" applyAlignment="1" applyProtection="1">
      <alignment horizontal="left" wrapText="1"/>
      <protection locked="0" hidden="1"/>
    </xf>
    <xf numFmtId="0" fontId="132" fillId="3" borderId="11" xfId="7" applyFont="1" applyFill="1" applyBorder="1" applyAlignment="1" applyProtection="1">
      <alignment wrapText="1"/>
      <protection locked="0" hidden="1"/>
    </xf>
    <xf numFmtId="0" fontId="132" fillId="3" borderId="20" xfId="7" applyFont="1" applyFill="1" applyBorder="1" applyAlignment="1" applyProtection="1">
      <alignment wrapText="1"/>
      <protection locked="0" hidden="1"/>
    </xf>
    <xf numFmtId="0" fontId="91" fillId="3" borderId="10" xfId="7" applyFont="1" applyFill="1" applyBorder="1" applyAlignment="1" applyProtection="1">
      <alignment horizontal="left" vertical="top" wrapText="1"/>
      <protection hidden="1"/>
    </xf>
    <xf numFmtId="0" fontId="91" fillId="3" borderId="0" xfId="7" applyFont="1" applyFill="1" applyBorder="1" applyAlignment="1" applyProtection="1">
      <alignment horizontal="left" vertical="top" wrapText="1"/>
      <protection hidden="1"/>
    </xf>
    <xf numFmtId="0" fontId="32" fillId="3" borderId="0" xfId="7" applyFont="1" applyFill="1" applyBorder="1" applyAlignment="1" applyProtection="1">
      <alignment horizontal="right"/>
      <protection hidden="1"/>
    </xf>
    <xf numFmtId="0" fontId="32" fillId="3" borderId="9" xfId="7" applyFont="1" applyFill="1" applyBorder="1" applyAlignment="1" applyProtection="1">
      <alignment horizontal="right"/>
      <protection hidden="1"/>
    </xf>
    <xf numFmtId="0" fontId="42" fillId="3" borderId="0" xfId="7" applyFont="1" applyFill="1" applyBorder="1" applyAlignment="1" applyProtection="1">
      <alignment vertical="center" wrapText="1"/>
      <protection hidden="1"/>
    </xf>
    <xf numFmtId="0" fontId="54" fillId="0" borderId="0" xfId="0" applyFont="1" applyBorder="1" applyAlignment="1">
      <alignment vertical="center" wrapText="1"/>
    </xf>
    <xf numFmtId="0" fontId="32" fillId="5" borderId="0" xfId="7" applyFont="1" applyFill="1" applyBorder="1" applyAlignment="1" applyProtection="1">
      <protection hidden="1"/>
    </xf>
    <xf numFmtId="0" fontId="17" fillId="5" borderId="0" xfId="0" applyFont="1" applyFill="1" applyBorder="1" applyAlignment="1"/>
    <xf numFmtId="0" fontId="126" fillId="3" borderId="0" xfId="7" applyFont="1" applyFill="1" applyBorder="1" applyAlignment="1" applyProtection="1">
      <alignment vertical="center"/>
      <protection hidden="1"/>
    </xf>
    <xf numFmtId="0" fontId="0" fillId="0" borderId="0" xfId="0" applyAlignment="1">
      <alignment vertical="center"/>
    </xf>
    <xf numFmtId="0" fontId="60" fillId="9" borderId="48" xfId="7" applyFont="1" applyFill="1" applyBorder="1" applyAlignment="1" applyProtection="1">
      <alignment horizontal="left" vertical="top" wrapText="1"/>
      <protection locked="0" hidden="1"/>
    </xf>
    <xf numFmtId="0" fontId="9" fillId="9" borderId="50" xfId="7" applyFont="1" applyFill="1" applyBorder="1" applyAlignment="1">
      <alignment horizontal="left" vertical="top"/>
    </xf>
    <xf numFmtId="0" fontId="9" fillId="9" borderId="37" xfId="7" applyFont="1" applyFill="1" applyBorder="1" applyAlignment="1">
      <alignment horizontal="left" vertical="top"/>
    </xf>
    <xf numFmtId="0" fontId="60" fillId="9" borderId="48" xfId="7" applyFont="1" applyFill="1" applyBorder="1" applyAlignment="1" applyProtection="1">
      <alignment horizontal="left" vertical="center" wrapText="1"/>
      <protection locked="0" hidden="1"/>
    </xf>
    <xf numFmtId="0" fontId="9" fillId="9" borderId="50" xfId="7" applyFill="1" applyBorder="1" applyAlignment="1">
      <alignment horizontal="left" vertical="center" wrapText="1"/>
    </xf>
    <xf numFmtId="0" fontId="9" fillId="9" borderId="37" xfId="7" applyFill="1" applyBorder="1" applyAlignment="1">
      <alignment horizontal="left" vertical="center" wrapText="1"/>
    </xf>
    <xf numFmtId="0" fontId="54" fillId="9" borderId="95" xfId="7" applyFont="1" applyFill="1" applyBorder="1" applyAlignment="1">
      <alignment horizontal="left" vertical="top" wrapText="1"/>
    </xf>
    <xf numFmtId="0" fontId="0" fillId="9" borderId="50" xfId="0" applyFill="1" applyBorder="1" applyAlignment="1">
      <alignment horizontal="left" vertical="top" wrapText="1"/>
    </xf>
    <xf numFmtId="0" fontId="0" fillId="9" borderId="37" xfId="0" applyFill="1" applyBorder="1" applyAlignment="1">
      <alignment horizontal="left" vertical="top" wrapText="1"/>
    </xf>
    <xf numFmtId="0" fontId="32" fillId="3" borderId="0" xfId="7" applyFont="1" applyFill="1" applyBorder="1" applyAlignment="1" applyProtection="1">
      <alignment horizontal="right" vertical="center"/>
      <protection hidden="1"/>
    </xf>
    <xf numFmtId="0" fontId="60" fillId="9" borderId="48" xfId="7" applyFont="1" applyFill="1" applyBorder="1" applyAlignment="1" applyProtection="1">
      <alignment vertical="center" wrapText="1"/>
      <protection locked="0" hidden="1"/>
    </xf>
    <xf numFmtId="0" fontId="9" fillId="9" borderId="50" xfId="7" applyFill="1" applyBorder="1" applyAlignment="1">
      <alignment vertical="center"/>
    </xf>
    <xf numFmtId="0" fontId="9" fillId="9" borderId="37" xfId="7" applyFill="1" applyBorder="1" applyAlignment="1">
      <alignment vertical="center"/>
    </xf>
    <xf numFmtId="0" fontId="32" fillId="3" borderId="0" xfId="7" applyFont="1" applyFill="1" applyBorder="1" applyAlignment="1" applyProtection="1">
      <alignment horizontal="center"/>
      <protection hidden="1"/>
    </xf>
    <xf numFmtId="0" fontId="74" fillId="8" borderId="32" xfId="7" applyFont="1" applyFill="1" applyBorder="1" applyAlignment="1" applyProtection="1">
      <alignment horizontal="left" vertical="center"/>
      <protection hidden="1"/>
    </xf>
    <xf numFmtId="0" fontId="74" fillId="8" borderId="17" xfId="7" applyFont="1" applyFill="1" applyBorder="1" applyAlignment="1" applyProtection="1">
      <alignment horizontal="left" vertical="center"/>
      <protection hidden="1"/>
    </xf>
    <xf numFmtId="0" fontId="74" fillId="8" borderId="18" xfId="7" applyFont="1" applyFill="1" applyBorder="1" applyAlignment="1" applyProtection="1">
      <alignment horizontal="left" vertical="center"/>
      <protection hidden="1"/>
    </xf>
    <xf numFmtId="0" fontId="74" fillId="8" borderId="10" xfId="7" applyFont="1" applyFill="1" applyBorder="1" applyAlignment="1" applyProtection="1">
      <alignment horizontal="left" vertical="top" wrapText="1"/>
      <protection hidden="1"/>
    </xf>
    <xf numFmtId="0" fontId="74" fillId="8" borderId="0" xfId="7" applyFont="1" applyFill="1" applyBorder="1" applyAlignment="1" applyProtection="1">
      <alignment horizontal="left" vertical="top" wrapText="1"/>
      <protection hidden="1"/>
    </xf>
    <xf numFmtId="0" fontId="74" fillId="8" borderId="9" xfId="7" applyFont="1" applyFill="1" applyBorder="1" applyAlignment="1" applyProtection="1">
      <alignment horizontal="left" vertical="top" wrapText="1"/>
      <protection hidden="1"/>
    </xf>
    <xf numFmtId="0" fontId="57" fillId="3" borderId="113" xfId="7" applyFont="1" applyFill="1" applyBorder="1" applyAlignment="1" applyProtection="1">
      <alignment horizontal="center" vertical="center" wrapText="1"/>
      <protection locked="0"/>
    </xf>
    <xf numFmtId="0" fontId="51" fillId="0" borderId="115" xfId="0" applyFont="1" applyBorder="1" applyAlignment="1" applyProtection="1">
      <alignment horizontal="center" vertical="center" wrapText="1"/>
      <protection locked="0"/>
    </xf>
    <xf numFmtId="0" fontId="57" fillId="3" borderId="113" xfId="3" applyNumberFormat="1" applyFont="1" applyFill="1" applyBorder="1" applyAlignment="1" applyProtection="1">
      <alignment horizontal="center" vertical="center" wrapText="1"/>
      <protection locked="0"/>
    </xf>
    <xf numFmtId="0" fontId="25" fillId="0" borderId="115" xfId="0" applyFont="1" applyBorder="1" applyAlignment="1" applyProtection="1">
      <alignment vertical="center" wrapText="1"/>
      <protection locked="0"/>
    </xf>
    <xf numFmtId="0" fontId="0" fillId="0" borderId="10" xfId="0" applyBorder="1" applyAlignment="1">
      <alignment horizontal="left" vertical="top" wrapText="1"/>
    </xf>
    <xf numFmtId="0" fontId="82" fillId="3" borderId="0" xfId="7" applyFont="1" applyFill="1" applyBorder="1" applyAlignment="1" applyProtection="1">
      <alignment horizontal="right"/>
      <protection locked="0" hidden="1"/>
    </xf>
    <xf numFmtId="0" fontId="28" fillId="3" borderId="9" xfId="7" applyFont="1" applyFill="1" applyBorder="1" applyAlignment="1" applyProtection="1">
      <alignment horizontal="right"/>
      <protection locked="0" hidden="1"/>
    </xf>
    <xf numFmtId="0" fontId="32" fillId="3" borderId="10" xfId="7" applyFont="1" applyFill="1" applyBorder="1" applyAlignment="1" applyProtection="1">
      <alignment horizontal="right" vertical="top" indent="2"/>
      <protection hidden="1"/>
    </xf>
    <xf numFmtId="0" fontId="32" fillId="3" borderId="0" xfId="7" applyFont="1" applyFill="1" applyBorder="1" applyAlignment="1" applyProtection="1">
      <alignment horizontal="right" vertical="top" indent="2"/>
      <protection hidden="1"/>
    </xf>
    <xf numFmtId="0" fontId="32" fillId="3" borderId="10" xfId="7" applyFont="1" applyFill="1" applyBorder="1" applyAlignment="1" applyProtection="1">
      <alignment horizontal="right" indent="2"/>
      <protection hidden="1"/>
    </xf>
    <xf numFmtId="0" fontId="32" fillId="3" borderId="0" xfId="7" applyFont="1" applyFill="1" applyBorder="1" applyAlignment="1" applyProtection="1">
      <alignment horizontal="right" indent="2"/>
      <protection hidden="1"/>
    </xf>
    <xf numFmtId="0" fontId="32" fillId="3" borderId="10" xfId="7" applyFont="1" applyFill="1" applyBorder="1" applyAlignment="1" applyProtection="1">
      <alignment horizontal="center" vertical="center"/>
      <protection hidden="1"/>
    </xf>
    <xf numFmtId="0" fontId="76" fillId="3" borderId="0" xfId="7" applyFont="1" applyFill="1" applyBorder="1" applyAlignment="1" applyProtection="1">
      <alignment horizontal="left" vertical="center" shrinkToFit="1"/>
      <protection locked="0" hidden="1"/>
    </xf>
    <xf numFmtId="0" fontId="18" fillId="0" borderId="0" xfId="0" applyFont="1" applyBorder="1" applyAlignment="1" applyProtection="1">
      <alignment horizontal="left" shrinkToFit="1"/>
      <protection locked="0"/>
    </xf>
    <xf numFmtId="0" fontId="57" fillId="3" borderId="32" xfId="7" applyFont="1" applyFill="1" applyBorder="1" applyAlignment="1" applyProtection="1">
      <alignment horizontal="center" vertical="center"/>
      <protection hidden="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124" fillId="3" borderId="10" xfId="7" applyFont="1" applyFill="1" applyBorder="1" applyAlignment="1" applyProtection="1">
      <alignment horizontal="right" vertical="center"/>
      <protection hidden="1"/>
    </xf>
    <xf numFmtId="0" fontId="125" fillId="0" borderId="0" xfId="0" applyFont="1" applyBorder="1" applyAlignment="1">
      <alignment horizontal="right"/>
    </xf>
    <xf numFmtId="49" fontId="57" fillId="3" borderId="0" xfId="7"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0" fontId="32" fillId="3" borderId="10" xfId="7" applyFont="1" applyFill="1" applyBorder="1" applyAlignment="1" applyProtection="1">
      <alignment horizontal="right" vertical="center"/>
      <protection hidden="1"/>
    </xf>
    <xf numFmtId="0" fontId="17" fillId="0" borderId="0" xfId="0" applyFont="1" applyBorder="1" applyAlignment="1">
      <alignment horizontal="right"/>
    </xf>
    <xf numFmtId="0" fontId="122" fillId="3" borderId="13" xfId="7" applyFont="1" applyFill="1" applyBorder="1" applyAlignment="1" applyProtection="1">
      <alignment horizontal="left" vertical="top" wrapText="1"/>
      <protection hidden="1"/>
    </xf>
    <xf numFmtId="0" fontId="123" fillId="0" borderId="13" xfId="0" applyFont="1" applyBorder="1" applyAlignment="1">
      <alignment vertical="top" wrapText="1"/>
    </xf>
    <xf numFmtId="0" fontId="123" fillId="0" borderId="0" xfId="0" applyFont="1" applyBorder="1" applyAlignment="1">
      <alignment vertical="top" wrapText="1"/>
    </xf>
    <xf numFmtId="0" fontId="129" fillId="3" borderId="0" xfId="7" applyFont="1" applyFill="1" applyBorder="1" applyAlignment="1" applyProtection="1">
      <alignment horizontal="center"/>
      <protection locked="0" hidden="1"/>
    </xf>
    <xf numFmtId="0" fontId="84" fillId="3" borderId="32" xfId="7" applyFont="1" applyFill="1" applyBorder="1" applyAlignment="1" applyProtection="1">
      <alignment wrapText="1"/>
      <protection locked="0" hidden="1"/>
    </xf>
    <xf numFmtId="0" fontId="79" fillId="3" borderId="17" xfId="7" applyFont="1" applyFill="1" applyBorder="1" applyAlignment="1" applyProtection="1">
      <alignment wrapText="1"/>
      <protection locked="0" hidden="1"/>
    </xf>
    <xf numFmtId="0" fontId="79" fillId="3" borderId="18" xfId="7" applyFont="1" applyFill="1" applyBorder="1" applyAlignment="1" applyProtection="1">
      <alignment wrapText="1"/>
      <protection locked="0" hidden="1"/>
    </xf>
    <xf numFmtId="0" fontId="75" fillId="3" borderId="0" xfId="7" applyFont="1" applyFill="1" applyBorder="1" applyAlignment="1" applyProtection="1">
      <alignment horizontal="left" vertical="center" wrapText="1"/>
      <protection hidden="1"/>
    </xf>
    <xf numFmtId="0" fontId="33" fillId="3" borderId="0" xfId="7" applyFont="1" applyFill="1" applyBorder="1" applyAlignment="1" applyProtection="1">
      <alignment horizontal="left" vertical="top" wrapText="1"/>
      <protection hidden="1"/>
    </xf>
    <xf numFmtId="0" fontId="92" fillId="3" borderId="0" xfId="7" applyFont="1" applyFill="1" applyBorder="1" applyAlignment="1" applyProtection="1">
      <alignment horizontal="left"/>
      <protection hidden="1"/>
    </xf>
    <xf numFmtId="0" fontId="0" fillId="0" borderId="0" xfId="0" applyBorder="1" applyAlignment="1"/>
    <xf numFmtId="0" fontId="120" fillId="8" borderId="32" xfId="7" applyFont="1" applyFill="1" applyBorder="1" applyAlignment="1" applyProtection="1">
      <alignment horizontal="left" vertical="top" wrapText="1"/>
      <protection hidden="1"/>
    </xf>
    <xf numFmtId="0" fontId="120" fillId="8" borderId="17" xfId="7" applyFont="1" applyFill="1" applyBorder="1" applyAlignment="1" applyProtection="1">
      <alignment horizontal="left" vertical="top" wrapText="1"/>
      <protection hidden="1"/>
    </xf>
    <xf numFmtId="0" fontId="120" fillId="8" borderId="18" xfId="7" applyFont="1" applyFill="1" applyBorder="1" applyAlignment="1" applyProtection="1">
      <alignment horizontal="left" vertical="top" wrapText="1"/>
      <protection hidden="1"/>
    </xf>
    <xf numFmtId="0" fontId="42" fillId="0" borderId="0" xfId="7" applyFont="1" applyFill="1" applyAlignment="1" applyProtection="1">
      <alignment wrapText="1"/>
      <protection locked="0" hidden="1"/>
    </xf>
    <xf numFmtId="0" fontId="0" fillId="0" borderId="0" xfId="0" applyAlignment="1">
      <alignment wrapText="1"/>
    </xf>
    <xf numFmtId="0" fontId="32" fillId="11" borderId="134" xfId="7" applyFont="1" applyFill="1" applyBorder="1" applyAlignment="1" applyProtection="1">
      <alignment horizontal="left" vertical="center" wrapText="1"/>
      <protection hidden="1"/>
    </xf>
    <xf numFmtId="0" fontId="32" fillId="11" borderId="133" xfId="7" applyFont="1" applyFill="1" applyBorder="1" applyAlignment="1" applyProtection="1">
      <alignment horizontal="left" vertical="center" wrapText="1"/>
      <protection hidden="1"/>
    </xf>
    <xf numFmtId="0" fontId="32" fillId="11" borderId="135" xfId="7" applyFont="1" applyFill="1" applyBorder="1" applyAlignment="1" applyProtection="1">
      <alignment horizontal="left" vertical="center" wrapText="1"/>
      <protection hidden="1"/>
    </xf>
    <xf numFmtId="0" fontId="32" fillId="11" borderId="19" xfId="7" applyFont="1" applyFill="1" applyBorder="1" applyAlignment="1" applyProtection="1">
      <alignment horizontal="left" vertical="center" wrapText="1"/>
      <protection hidden="1"/>
    </xf>
    <xf numFmtId="0" fontId="32" fillId="11" borderId="11" xfId="7" applyFont="1" applyFill="1" applyBorder="1" applyAlignment="1" applyProtection="1">
      <alignment horizontal="left" vertical="center" wrapText="1"/>
      <protection hidden="1"/>
    </xf>
    <xf numFmtId="0" fontId="32" fillId="11" borderId="45" xfId="7" applyFont="1" applyFill="1" applyBorder="1" applyAlignment="1" applyProtection="1">
      <alignment horizontal="left" vertical="center" wrapText="1"/>
      <protection hidden="1"/>
    </xf>
    <xf numFmtId="0" fontId="76" fillId="3" borderId="0" xfId="7" applyFont="1" applyFill="1" applyBorder="1" applyAlignment="1" applyProtection="1">
      <alignment horizontal="left" vertical="center" shrinkToFit="1"/>
      <protection hidden="1"/>
    </xf>
    <xf numFmtId="0" fontId="18" fillId="0" borderId="0" xfId="0" applyFont="1" applyBorder="1" applyAlignment="1">
      <alignment horizontal="left" shrinkToFit="1"/>
    </xf>
    <xf numFmtId="0" fontId="39" fillId="3" borderId="0" xfId="7" applyFont="1" applyFill="1" applyBorder="1" applyAlignment="1" applyProtection="1">
      <alignment horizontal="left" vertical="top" wrapText="1"/>
      <protection hidden="1"/>
    </xf>
    <xf numFmtId="0" fontId="94" fillId="3" borderId="29" xfId="7" applyFont="1" applyFill="1" applyBorder="1" applyAlignment="1" applyProtection="1">
      <alignment horizontal="center" vertical="center" wrapText="1"/>
      <protection hidden="1"/>
    </xf>
    <xf numFmtId="0" fontId="74" fillId="8" borderId="32" xfId="7" applyFont="1" applyFill="1" applyBorder="1" applyAlignment="1" applyProtection="1">
      <alignment horizontal="left" vertical="top" wrapText="1"/>
      <protection hidden="1"/>
    </xf>
    <xf numFmtId="0" fontId="74" fillId="8" borderId="17" xfId="7" applyFont="1" applyFill="1" applyBorder="1" applyAlignment="1" applyProtection="1">
      <alignment horizontal="left" vertical="top" wrapText="1"/>
      <protection hidden="1"/>
    </xf>
    <xf numFmtId="0" fontId="74" fillId="8" borderId="18" xfId="7" applyFont="1" applyFill="1" applyBorder="1" applyAlignment="1" applyProtection="1">
      <alignment horizontal="left" vertical="top" wrapText="1"/>
      <protection hidden="1"/>
    </xf>
    <xf numFmtId="0" fontId="0" fillId="0" borderId="29" xfId="0" applyBorder="1" applyAlignment="1" applyProtection="1">
      <alignment horizontal="left"/>
      <protection locked="0"/>
    </xf>
    <xf numFmtId="0" fontId="0" fillId="0" borderId="29" xfId="0" applyBorder="1" applyAlignment="1">
      <alignment horizontal="left"/>
    </xf>
    <xf numFmtId="0" fontId="163" fillId="0" borderId="117" xfId="0" applyFont="1" applyBorder="1" applyAlignment="1" applyProtection="1">
      <alignment horizontal="left" wrapText="1"/>
      <protection locked="0"/>
    </xf>
    <xf numFmtId="0" fontId="18" fillId="0" borderId="0" xfId="0" applyFont="1" applyBorder="1" applyAlignment="1"/>
    <xf numFmtId="0" fontId="0" fillId="0" borderId="29" xfId="0" applyBorder="1" applyAlignment="1"/>
    <xf numFmtId="0" fontId="0" fillId="0" borderId="0" xfId="0" applyAlignment="1">
      <alignment horizontal="right" vertical="top" indent="2"/>
    </xf>
    <xf numFmtId="0" fontId="163" fillId="0" borderId="117" xfId="0" applyFont="1" applyBorder="1" applyAlignment="1" applyProtection="1">
      <alignment horizontal="left"/>
      <protection locked="0"/>
    </xf>
    <xf numFmtId="0" fontId="32" fillId="3" borderId="10" xfId="7" quotePrefix="1" applyFont="1" applyFill="1" applyBorder="1" applyAlignment="1" applyProtection="1">
      <alignment horizontal="left" vertical="top" wrapText="1"/>
      <protection hidden="1"/>
    </xf>
    <xf numFmtId="0" fontId="32" fillId="3" borderId="0" xfId="7" quotePrefix="1" applyFont="1" applyFill="1" applyBorder="1" applyAlignment="1" applyProtection="1">
      <alignment horizontal="left" vertical="top" wrapText="1"/>
      <protection hidden="1"/>
    </xf>
    <xf numFmtId="0" fontId="74" fillId="8" borderId="59" xfId="7" quotePrefix="1" applyFont="1" applyFill="1" applyBorder="1" applyAlignment="1" applyProtection="1">
      <alignment horizontal="left" vertical="center" wrapText="1"/>
      <protection hidden="1"/>
    </xf>
    <xf numFmtId="0" fontId="74" fillId="8" borderId="60" xfId="7" quotePrefix="1" applyFont="1" applyFill="1" applyBorder="1" applyAlignment="1" applyProtection="1">
      <alignment horizontal="left" vertical="center" wrapText="1"/>
      <protection hidden="1"/>
    </xf>
    <xf numFmtId="0" fontId="74" fillId="8" borderId="61" xfId="7" quotePrefix="1" applyFont="1" applyFill="1" applyBorder="1" applyAlignment="1" applyProtection="1">
      <alignment horizontal="left" vertical="center" wrapText="1"/>
      <protection hidden="1"/>
    </xf>
    <xf numFmtId="0" fontId="76" fillId="3" borderId="29" xfId="7" applyFont="1" applyFill="1" applyBorder="1" applyAlignment="1" applyProtection="1">
      <alignment horizontal="left" vertical="center" shrinkToFit="1"/>
      <protection hidden="1"/>
    </xf>
    <xf numFmtId="0" fontId="18" fillId="0" borderId="29" xfId="0" applyFont="1" applyBorder="1" applyAlignment="1">
      <alignment horizontal="left" shrinkToFit="1"/>
    </xf>
    <xf numFmtId="0" fontId="28" fillId="3" borderId="129" xfId="7" applyFont="1" applyFill="1" applyBorder="1" applyAlignment="1" applyProtection="1">
      <alignment horizontal="center"/>
      <protection hidden="1"/>
    </xf>
    <xf numFmtId="0" fontId="0" fillId="0" borderId="129" xfId="0" applyBorder="1" applyAlignment="1">
      <alignment horizontal="center"/>
    </xf>
    <xf numFmtId="0" fontId="130" fillId="8" borderId="32" xfId="7" applyFont="1" applyFill="1" applyBorder="1" applyAlignment="1" applyProtection="1">
      <alignment horizontal="left" vertical="top"/>
      <protection hidden="1"/>
    </xf>
    <xf numFmtId="0" fontId="0" fillId="0" borderId="17" xfId="0" applyBorder="1" applyAlignment="1">
      <alignment horizontal="left" vertical="top"/>
    </xf>
    <xf numFmtId="0" fontId="131" fillId="6" borderId="17" xfId="0" applyFont="1" applyFill="1" applyBorder="1" applyAlignment="1">
      <alignment horizontal="left" vertical="top"/>
    </xf>
    <xf numFmtId="0" fontId="160" fillId="6" borderId="17" xfId="0" applyFont="1" applyFill="1" applyBorder="1" applyAlignment="1">
      <alignment horizontal="left" vertical="center"/>
    </xf>
    <xf numFmtId="0" fontId="160" fillId="6" borderId="17" xfId="0" applyFont="1" applyFill="1" applyBorder="1" applyAlignment="1">
      <alignment vertical="center"/>
    </xf>
    <xf numFmtId="0" fontId="74" fillId="8" borderId="32" xfId="7" applyFont="1" applyFill="1" applyBorder="1" applyAlignment="1" applyProtection="1">
      <alignment horizontal="left"/>
      <protection hidden="1"/>
    </xf>
    <xf numFmtId="0" fontId="0" fillId="0" borderId="17" xfId="0" applyBorder="1" applyAlignment="1">
      <alignment horizontal="left"/>
    </xf>
    <xf numFmtId="0" fontId="74" fillId="3" borderId="10" xfId="7" applyFont="1" applyFill="1" applyBorder="1" applyAlignment="1" applyProtection="1">
      <alignment horizontal="center"/>
      <protection hidden="1"/>
    </xf>
    <xf numFmtId="0" fontId="74" fillId="3" borderId="0" xfId="7" applyFont="1" applyFill="1" applyBorder="1" applyAlignment="1" applyProtection="1">
      <alignment horizontal="center"/>
      <protection hidden="1"/>
    </xf>
    <xf numFmtId="0" fontId="74" fillId="3" borderId="9" xfId="7" applyFont="1" applyFill="1" applyBorder="1" applyAlignment="1" applyProtection="1">
      <alignment horizontal="center"/>
      <protection hidden="1"/>
    </xf>
    <xf numFmtId="0" fontId="57" fillId="0" borderId="32" xfId="7" applyFont="1" applyFill="1" applyBorder="1" applyAlignment="1" applyProtection="1">
      <alignment horizontal="center" vertical="center"/>
      <protection locked="0" hidden="1"/>
    </xf>
    <xf numFmtId="0" fontId="57" fillId="0" borderId="17" xfId="7" applyFont="1" applyFill="1" applyBorder="1" applyAlignment="1" applyProtection="1">
      <alignment horizontal="center" vertical="center"/>
      <protection locked="0" hidden="1"/>
    </xf>
    <xf numFmtId="0" fontId="57" fillId="0" borderId="18" xfId="7" applyFont="1" applyFill="1" applyBorder="1" applyAlignment="1" applyProtection="1">
      <alignment horizontal="center" vertical="center"/>
      <protection locked="0" hidden="1"/>
    </xf>
    <xf numFmtId="0" fontId="57" fillId="3" borderId="32" xfId="7" applyFont="1" applyFill="1" applyBorder="1" applyAlignment="1" applyProtection="1">
      <alignment horizontal="center" vertical="center"/>
      <protection locked="0" hidden="1"/>
    </xf>
    <xf numFmtId="0" fontId="57" fillId="3" borderId="17" xfId="7" applyFont="1" applyFill="1" applyBorder="1" applyAlignment="1" applyProtection="1">
      <alignment horizontal="center" vertical="center"/>
      <protection locked="0" hidden="1"/>
    </xf>
    <xf numFmtId="0" fontId="57" fillId="3" borderId="18" xfId="7" applyFont="1" applyFill="1" applyBorder="1" applyAlignment="1" applyProtection="1">
      <alignment horizontal="center" vertical="center"/>
      <protection locked="0" hidden="1"/>
    </xf>
    <xf numFmtId="0" fontId="57" fillId="3" borderId="32" xfId="7"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85" fillId="3" borderId="0" xfId="7" applyFont="1" applyFill="1" applyBorder="1" applyAlignment="1" applyProtection="1">
      <alignment vertical="top"/>
      <protection hidden="1"/>
    </xf>
    <xf numFmtId="0" fontId="0" fillId="0" borderId="0" xfId="0" applyAlignment="1"/>
    <xf numFmtId="0" fontId="57" fillId="3" borderId="10" xfId="7" applyFont="1" applyFill="1" applyBorder="1" applyAlignment="1" applyProtection="1">
      <alignment horizontal="left"/>
      <protection hidden="1"/>
    </xf>
    <xf numFmtId="0" fontId="0" fillId="0" borderId="9" xfId="0" applyBorder="1" applyAlignment="1">
      <alignment horizontal="left"/>
    </xf>
    <xf numFmtId="0" fontId="98" fillId="3" borderId="10" xfId="7" applyFont="1" applyFill="1" applyBorder="1" applyAlignment="1" applyProtection="1">
      <alignment horizontal="right" vertical="center"/>
      <protection locked="0" hidden="1"/>
    </xf>
    <xf numFmtId="0" fontId="50" fillId="0" borderId="9" xfId="0" applyFont="1" applyBorder="1" applyAlignment="1">
      <alignment horizontal="right" vertical="center"/>
    </xf>
    <xf numFmtId="0" fontId="150" fillId="3" borderId="0" xfId="7" applyFont="1" applyFill="1" applyBorder="1" applyAlignment="1" applyProtection="1">
      <alignment vertical="top" wrapText="1"/>
      <protection hidden="1"/>
    </xf>
    <xf numFmtId="0" fontId="154" fillId="0" borderId="0" xfId="0" applyFont="1" applyAlignment="1">
      <alignment vertical="top" wrapText="1"/>
    </xf>
    <xf numFmtId="0" fontId="74" fillId="8" borderId="12" xfId="7" applyFont="1" applyFill="1" applyBorder="1" applyAlignment="1" applyProtection="1">
      <alignment horizontal="left" vertical="top" wrapText="1"/>
      <protection hidden="1"/>
    </xf>
    <xf numFmtId="0" fontId="119" fillId="8" borderId="13" xfId="7" applyFont="1" applyFill="1" applyBorder="1" applyAlignment="1" applyProtection="1">
      <alignment wrapText="1"/>
      <protection hidden="1"/>
    </xf>
    <xf numFmtId="0" fontId="119" fillId="8" borderId="14" xfId="7" applyFont="1" applyFill="1" applyBorder="1" applyAlignment="1" applyProtection="1">
      <alignment wrapText="1"/>
      <protection hidden="1"/>
    </xf>
    <xf numFmtId="0" fontId="80" fillId="3" borderId="12" xfId="7" applyFont="1" applyFill="1" applyBorder="1" applyAlignment="1" applyProtection="1">
      <alignment horizontal="center" vertical="center"/>
      <protection hidden="1"/>
    </xf>
    <xf numFmtId="0" fontId="80" fillId="3" borderId="10" xfId="7" applyFont="1" applyFill="1" applyBorder="1" applyAlignment="1" applyProtection="1">
      <alignment horizontal="center" vertical="center"/>
      <protection hidden="1"/>
    </xf>
    <xf numFmtId="0" fontId="84" fillId="8" borderId="32" xfId="7" applyFont="1" applyFill="1" applyBorder="1" applyAlignment="1" applyProtection="1">
      <alignment horizontal="center" vertical="center" wrapText="1"/>
      <protection hidden="1"/>
    </xf>
    <xf numFmtId="0" fontId="79" fillId="8" borderId="17" xfId="7" applyFont="1" applyFill="1" applyBorder="1" applyAlignment="1" applyProtection="1">
      <alignment horizontal="center" vertical="center" wrapText="1"/>
      <protection hidden="1"/>
    </xf>
    <xf numFmtId="0" fontId="79" fillId="8" borderId="18" xfId="7" applyFont="1" applyFill="1" applyBorder="1" applyAlignment="1" applyProtection="1">
      <alignment horizontal="center" vertical="center" wrapText="1"/>
      <protection hidden="1"/>
    </xf>
    <xf numFmtId="0" fontId="88" fillId="8" borderId="17" xfId="7" applyFont="1" applyFill="1" applyBorder="1" applyAlignment="1" applyProtection="1">
      <alignment horizontal="center" vertical="center" wrapText="1"/>
      <protection hidden="1"/>
    </xf>
    <xf numFmtId="0" fontId="88" fillId="8" borderId="18" xfId="7" applyFont="1" applyFill="1" applyBorder="1" applyAlignment="1" applyProtection="1">
      <alignment horizontal="center" vertical="center" wrapText="1"/>
      <protection hidden="1"/>
    </xf>
    <xf numFmtId="0" fontId="126" fillId="3" borderId="13" xfId="7" applyFont="1" applyFill="1" applyBorder="1" applyAlignment="1" applyProtection="1">
      <alignment horizontal="center" vertical="center" wrapText="1"/>
      <protection hidden="1"/>
    </xf>
    <xf numFmtId="0" fontId="111" fillId="0" borderId="13" xfId="0" applyFont="1" applyBorder="1" applyAlignment="1">
      <alignment horizontal="center" vertical="center" wrapText="1"/>
    </xf>
    <xf numFmtId="0" fontId="126" fillId="3" borderId="0" xfId="7" applyFont="1" applyFill="1" applyBorder="1" applyAlignment="1" applyProtection="1">
      <alignment horizontal="center" vertical="center" wrapText="1"/>
      <protection hidden="1"/>
    </xf>
    <xf numFmtId="0" fontId="111" fillId="0" borderId="0" xfId="0" applyFont="1" applyBorder="1" applyAlignment="1">
      <alignment horizontal="center" vertical="center" wrapText="1"/>
    </xf>
    <xf numFmtId="0" fontId="32" fillId="3" borderId="10" xfId="7" applyFont="1" applyFill="1" applyBorder="1" applyAlignment="1" applyProtection="1">
      <alignment horizontal="left" vertical="center" wrapText="1"/>
      <protection hidden="1"/>
    </xf>
    <xf numFmtId="0" fontId="0" fillId="0" borderId="9" xfId="0" applyBorder="1" applyAlignment="1">
      <alignment vertical="center" wrapText="1"/>
    </xf>
    <xf numFmtId="0" fontId="57" fillId="0" borderId="32" xfId="7"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2" fillId="3" borderId="10" xfId="7" applyFont="1" applyFill="1" applyBorder="1" applyAlignment="1" applyProtection="1">
      <alignment wrapText="1"/>
      <protection hidden="1"/>
    </xf>
    <xf numFmtId="0" fontId="18" fillId="0" borderId="0" xfId="0" applyFont="1" applyBorder="1" applyAlignment="1">
      <alignment wrapText="1"/>
    </xf>
    <xf numFmtId="0" fontId="74" fillId="8" borderId="63" xfId="7" applyFont="1" applyFill="1" applyBorder="1" applyAlignment="1" applyProtection="1">
      <alignment horizontal="left"/>
      <protection hidden="1"/>
    </xf>
    <xf numFmtId="0" fontId="74" fillId="8" borderId="64" xfId="7" applyFont="1" applyFill="1" applyBorder="1" applyAlignment="1" applyProtection="1">
      <alignment horizontal="left"/>
      <protection hidden="1"/>
    </xf>
    <xf numFmtId="0" fontId="74" fillId="8" borderId="23" xfId="7" applyFont="1" applyFill="1" applyBorder="1" applyAlignment="1" applyProtection="1">
      <alignment horizontal="left"/>
      <protection hidden="1"/>
    </xf>
    <xf numFmtId="0" fontId="74" fillId="8" borderId="65" xfId="7" applyFont="1" applyFill="1" applyBorder="1" applyAlignment="1" applyProtection="1">
      <alignment horizontal="left"/>
      <protection hidden="1"/>
    </xf>
    <xf numFmtId="0" fontId="36" fillId="8" borderId="0" xfId="7" applyFont="1" applyFill="1" applyBorder="1" applyAlignment="1" applyProtection="1">
      <alignment wrapText="1"/>
      <protection hidden="1"/>
    </xf>
    <xf numFmtId="0" fontId="36" fillId="8" borderId="9" xfId="7" applyFont="1" applyFill="1" applyBorder="1" applyAlignment="1" applyProtection="1">
      <alignment wrapText="1"/>
      <protection hidden="1"/>
    </xf>
    <xf numFmtId="0" fontId="32" fillId="3" borderId="0" xfId="7" applyFont="1" applyFill="1" applyBorder="1" applyAlignment="1" applyProtection="1">
      <alignment horizontal="left" vertical="top" wrapText="1"/>
      <protection hidden="1"/>
    </xf>
    <xf numFmtId="0" fontId="127" fillId="3" borderId="0" xfId="7" applyFont="1" applyFill="1" applyBorder="1" applyAlignment="1" applyProtection="1">
      <alignment horizontal="center"/>
      <protection hidden="1"/>
    </xf>
    <xf numFmtId="0" fontId="127" fillId="3" borderId="0" xfId="7" applyFont="1" applyFill="1" applyBorder="1" applyAlignment="1" applyProtection="1">
      <alignment horizontal="center" vertical="center" wrapText="1"/>
      <protection hidden="1"/>
    </xf>
    <xf numFmtId="168" fontId="155" fillId="3" borderId="0" xfId="3" applyNumberFormat="1" applyFont="1" applyFill="1" applyBorder="1" applyAlignment="1" applyProtection="1">
      <alignment horizontal="right" vertical="center"/>
      <protection hidden="1"/>
    </xf>
    <xf numFmtId="0" fontId="0" fillId="0" borderId="0" xfId="0" applyAlignment="1">
      <alignment horizontal="right"/>
    </xf>
    <xf numFmtId="173" fontId="157" fillId="12" borderId="118" xfId="11" applyNumberFormat="1" applyFont="1" applyFill="1" applyBorder="1" applyAlignment="1" applyProtection="1">
      <alignment horizontal="center"/>
      <protection hidden="1"/>
    </xf>
    <xf numFmtId="0" fontId="111" fillId="0" borderId="119" xfId="0" applyFont="1" applyBorder="1" applyAlignment="1"/>
    <xf numFmtId="0" fontId="138" fillId="5" borderId="113" xfId="10" applyFont="1" applyFill="1" applyBorder="1" applyAlignment="1" applyProtection="1">
      <alignment horizontal="left"/>
      <protection locked="0"/>
    </xf>
    <xf numFmtId="0" fontId="0" fillId="0" borderId="114" xfId="0" applyBorder="1" applyAlignment="1" applyProtection="1">
      <protection locked="0"/>
    </xf>
    <xf numFmtId="0" fontId="0" fillId="0" borderId="115" xfId="0" applyBorder="1" applyAlignment="1" applyProtection="1">
      <protection locked="0"/>
    </xf>
    <xf numFmtId="0" fontId="7" fillId="5" borderId="113" xfId="10" applyFont="1" applyFill="1" applyBorder="1" applyAlignment="1" applyProtection="1">
      <alignment horizontal="left"/>
      <protection locked="0"/>
    </xf>
    <xf numFmtId="0" fontId="54" fillId="0" borderId="114" xfId="0" applyFont="1" applyBorder="1" applyAlignment="1" applyProtection="1">
      <protection locked="0"/>
    </xf>
    <xf numFmtId="0" fontId="54" fillId="0" borderId="115" xfId="0" applyFont="1" applyBorder="1" applyAlignment="1" applyProtection="1">
      <protection locked="0"/>
    </xf>
    <xf numFmtId="10" fontId="138" fillId="5" borderId="117" xfId="8" applyNumberFormat="1" applyFont="1" applyFill="1" applyBorder="1" applyAlignment="1" applyProtection="1">
      <alignment horizontal="center"/>
      <protection locked="0"/>
    </xf>
    <xf numFmtId="10" fontId="0" fillId="0" borderId="117" xfId="8" applyNumberFormat="1" applyFont="1" applyBorder="1" applyAlignment="1" applyProtection="1">
      <protection locked="0"/>
    </xf>
    <xf numFmtId="10" fontId="138" fillId="5" borderId="117" xfId="10" applyNumberFormat="1" applyFont="1" applyFill="1" applyBorder="1" applyAlignment="1" applyProtection="1">
      <alignment horizontal="center"/>
      <protection locked="0"/>
    </xf>
    <xf numFmtId="10" fontId="0" fillId="0" borderId="117" xfId="0" applyNumberFormat="1" applyBorder="1" applyAlignment="1" applyProtection="1">
      <protection locked="0"/>
    </xf>
    <xf numFmtId="0" fontId="137" fillId="0" borderId="58" xfId="10" applyFont="1" applyBorder="1" applyAlignment="1" applyProtection="1">
      <alignment horizontal="center" vertical="center"/>
      <protection hidden="1"/>
    </xf>
    <xf numFmtId="0" fontId="137" fillId="0" borderId="15" xfId="10" applyFont="1" applyBorder="1" applyAlignment="1">
      <alignment vertical="center"/>
    </xf>
    <xf numFmtId="0" fontId="137" fillId="0" borderId="16" xfId="10" applyFont="1" applyBorder="1" applyAlignment="1">
      <alignment vertical="center"/>
    </xf>
    <xf numFmtId="0" fontId="136" fillId="0" borderId="11" xfId="10" applyFont="1" applyBorder="1" applyAlignment="1" applyProtection="1">
      <alignment horizontal="center"/>
      <protection hidden="1"/>
    </xf>
    <xf numFmtId="165" fontId="137" fillId="12" borderId="58" xfId="10" applyNumberFormat="1" applyFont="1" applyFill="1" applyBorder="1" applyAlignment="1" applyProtection="1">
      <alignment horizontal="center" vertical="center"/>
      <protection hidden="1"/>
    </xf>
    <xf numFmtId="165" fontId="137" fillId="12" borderId="15" xfId="10" applyNumberFormat="1" applyFont="1" applyFill="1" applyBorder="1" applyAlignment="1" applyProtection="1">
      <alignment vertical="center"/>
      <protection hidden="1"/>
    </xf>
    <xf numFmtId="165" fontId="137" fillId="12" borderId="16" xfId="10" applyNumberFormat="1" applyFont="1" applyFill="1" applyBorder="1" applyAlignment="1" applyProtection="1">
      <alignment vertical="center"/>
      <protection hidden="1"/>
    </xf>
    <xf numFmtId="0" fontId="138" fillId="0" borderId="105" xfId="10" applyFont="1" applyBorder="1" applyAlignment="1" applyProtection="1">
      <alignment horizontal="left" vertical="center" wrapText="1"/>
      <protection locked="0"/>
    </xf>
    <xf numFmtId="0" fontId="138" fillId="0" borderId="96" xfId="10" applyFont="1" applyBorder="1" applyAlignment="1" applyProtection="1">
      <alignment horizontal="left" wrapText="1"/>
      <protection locked="0"/>
    </xf>
    <xf numFmtId="0" fontId="138" fillId="0" borderId="97" xfId="10" applyFont="1" applyBorder="1" applyAlignment="1" applyProtection="1">
      <alignment horizontal="left" wrapText="1"/>
      <protection locked="0"/>
    </xf>
    <xf numFmtId="0" fontId="138" fillId="0" borderId="42" xfId="10" applyFont="1" applyBorder="1" applyAlignment="1" applyProtection="1">
      <alignment horizontal="left" wrapText="1"/>
      <protection locked="0"/>
    </xf>
    <xf numFmtId="0" fontId="138" fillId="0" borderId="0" xfId="10" applyFont="1" applyBorder="1" applyAlignment="1" applyProtection="1">
      <alignment horizontal="left" wrapText="1"/>
      <protection locked="0"/>
    </xf>
    <xf numFmtId="0" fontId="138" fillId="0" borderId="43" xfId="10" applyFont="1" applyBorder="1" applyAlignment="1" applyProtection="1">
      <alignment horizontal="left" wrapText="1"/>
      <protection locked="0"/>
    </xf>
    <xf numFmtId="0" fontId="138" fillId="0" borderId="44" xfId="10" applyFont="1" applyBorder="1" applyAlignment="1" applyProtection="1">
      <alignment horizontal="left" wrapText="1"/>
      <protection locked="0"/>
    </xf>
    <xf numFmtId="0" fontId="138" fillId="0" borderId="11" xfId="10" applyFont="1" applyBorder="1" applyAlignment="1" applyProtection="1">
      <alignment horizontal="left" wrapText="1"/>
      <protection locked="0"/>
    </xf>
    <xf numFmtId="0" fontId="138" fillId="0" borderId="45" xfId="10" applyFont="1" applyBorder="1" applyAlignment="1" applyProtection="1">
      <alignment horizontal="left" wrapText="1"/>
      <protection locked="0"/>
    </xf>
    <xf numFmtId="173" fontId="137" fillId="12" borderId="58" xfId="10" applyNumberFormat="1" applyFont="1" applyFill="1" applyBorder="1" applyAlignment="1" applyProtection="1">
      <alignment horizontal="center" vertical="center"/>
      <protection hidden="1"/>
    </xf>
    <xf numFmtId="0" fontId="138" fillId="12" borderId="15" xfId="10" applyFont="1" applyFill="1" applyBorder="1" applyAlignment="1" applyProtection="1">
      <alignment vertical="center"/>
      <protection hidden="1"/>
    </xf>
    <xf numFmtId="0" fontId="138" fillId="12" borderId="16" xfId="10" applyFont="1" applyFill="1" applyBorder="1" applyAlignment="1" applyProtection="1">
      <alignment vertical="center"/>
      <protection hidden="1"/>
    </xf>
    <xf numFmtId="0" fontId="137" fillId="13" borderId="58" xfId="10" applyFont="1" applyFill="1" applyBorder="1" applyAlignment="1" applyProtection="1">
      <alignment horizontal="center" vertical="center"/>
      <protection hidden="1"/>
    </xf>
    <xf numFmtId="0" fontId="137" fillId="13" borderId="15" xfId="10" applyFont="1" applyFill="1" applyBorder="1" applyAlignment="1" applyProtection="1">
      <alignment horizontal="center" vertical="center"/>
      <protection hidden="1"/>
    </xf>
    <xf numFmtId="0" fontId="137" fillId="13" borderId="16" xfId="10" applyFont="1" applyFill="1" applyBorder="1" applyAlignment="1" applyProtection="1">
      <alignment horizontal="center" vertical="center"/>
      <protection hidden="1"/>
    </xf>
    <xf numFmtId="0" fontId="136" fillId="0" borderId="58" xfId="10" applyFont="1" applyFill="1" applyBorder="1" applyAlignment="1" applyProtection="1">
      <alignment horizontal="center" vertical="center"/>
      <protection hidden="1"/>
    </xf>
    <xf numFmtId="0" fontId="136" fillId="0" borderId="15" xfId="10" applyFont="1" applyFill="1" applyBorder="1" applyAlignment="1" applyProtection="1">
      <alignment horizontal="center" vertical="center"/>
      <protection hidden="1"/>
    </xf>
    <xf numFmtId="0" fontId="136" fillId="0" borderId="16" xfId="10" applyFont="1" applyFill="1" applyBorder="1" applyAlignment="1" applyProtection="1">
      <alignment horizontal="center" vertical="center"/>
      <protection hidden="1"/>
    </xf>
    <xf numFmtId="0" fontId="147" fillId="0" borderId="0" xfId="10" applyFont="1" applyBorder="1" applyAlignment="1" applyProtection="1">
      <alignment horizontal="center" vertical="center"/>
      <protection hidden="1"/>
    </xf>
    <xf numFmtId="0" fontId="148" fillId="0" borderId="0" xfId="10" applyFont="1" applyBorder="1" applyAlignment="1" applyProtection="1">
      <protection hidden="1"/>
    </xf>
    <xf numFmtId="0" fontId="139" fillId="0" borderId="11" xfId="10" applyFont="1" applyBorder="1" applyAlignment="1" applyProtection="1">
      <alignment horizontal="center" vertical="center"/>
      <protection hidden="1"/>
    </xf>
    <xf numFmtId="0" fontId="140" fillId="0" borderId="11" xfId="10" applyFont="1" applyBorder="1" applyAlignment="1" applyProtection="1">
      <protection hidden="1"/>
    </xf>
    <xf numFmtId="0" fontId="8" fillId="0" borderId="11" xfId="10" applyBorder="1" applyAlignment="1" applyProtection="1">
      <protection hidden="1"/>
    </xf>
    <xf numFmtId="10" fontId="138" fillId="5" borderId="58" xfId="11" applyNumberFormat="1" applyFont="1" applyFill="1" applyBorder="1" applyAlignment="1" applyProtection="1">
      <alignment horizontal="center"/>
      <protection locked="0"/>
    </xf>
    <xf numFmtId="10" fontId="138" fillId="5" borderId="16" xfId="11" applyNumberFormat="1" applyFont="1" applyFill="1" applyBorder="1" applyAlignment="1" applyProtection="1">
      <alignment horizontal="center"/>
      <protection locked="0"/>
    </xf>
    <xf numFmtId="173" fontId="141" fillId="12" borderId="15" xfId="10" applyNumberFormat="1" applyFont="1" applyFill="1" applyBorder="1" applyAlignment="1" applyProtection="1">
      <alignment horizontal="center"/>
      <protection hidden="1"/>
    </xf>
    <xf numFmtId="0" fontId="141" fillId="0" borderId="16" xfId="10" applyFont="1" applyBorder="1" applyAlignment="1" applyProtection="1">
      <protection hidden="1"/>
    </xf>
    <xf numFmtId="0" fontId="134" fillId="0" borderId="13" xfId="10" applyFont="1" applyBorder="1" applyAlignment="1" applyProtection="1">
      <alignment horizontal="center"/>
      <protection hidden="1"/>
    </xf>
    <xf numFmtId="173" fontId="136" fillId="0" borderId="0" xfId="10" applyNumberFormat="1" applyFont="1" applyBorder="1" applyAlignment="1" applyProtection="1">
      <alignment horizontal="center" vertical="center"/>
      <protection hidden="1"/>
    </xf>
    <xf numFmtId="0" fontId="136" fillId="0" borderId="0" xfId="10" applyFont="1" applyBorder="1" applyAlignment="1" applyProtection="1">
      <alignment vertical="center"/>
      <protection hidden="1"/>
    </xf>
    <xf numFmtId="0" fontId="136" fillId="0" borderId="11" xfId="10" applyFont="1" applyBorder="1" applyAlignment="1" applyProtection="1">
      <protection hidden="1"/>
    </xf>
    <xf numFmtId="0" fontId="136" fillId="0" borderId="11" xfId="10" applyFont="1" applyBorder="1" applyAlignment="1" applyProtection="1">
      <alignment horizontal="center" vertical="center"/>
      <protection hidden="1"/>
    </xf>
    <xf numFmtId="0" fontId="61" fillId="0" borderId="1" xfId="10" applyFont="1" applyBorder="1" applyAlignment="1" applyProtection="1">
      <alignment horizontal="center" vertical="center"/>
      <protection locked="0"/>
    </xf>
    <xf numFmtId="0" fontId="8" fillId="0" borderId="1" xfId="10" applyBorder="1" applyAlignment="1" applyProtection="1">
      <alignment horizontal="center" vertical="center"/>
      <protection locked="0"/>
    </xf>
    <xf numFmtId="0" fontId="137" fillId="0" borderId="58" xfId="10" applyFont="1" applyBorder="1" applyAlignment="1" applyProtection="1">
      <alignment horizontal="center" vertical="center"/>
      <protection locked="0"/>
    </xf>
    <xf numFmtId="0" fontId="138" fillId="0" borderId="16" xfId="10" applyFont="1" applyBorder="1" applyAlignment="1" applyProtection="1">
      <alignment horizontal="center" vertical="center"/>
      <protection locked="0"/>
    </xf>
    <xf numFmtId="0" fontId="8" fillId="0" borderId="1" xfId="10" applyBorder="1" applyAlignment="1"/>
    <xf numFmtId="0" fontId="6" fillId="5" borderId="113" xfId="10" applyFont="1" applyFill="1" applyBorder="1" applyAlignment="1" applyProtection="1">
      <alignment horizontal="left"/>
      <protection locked="0"/>
    </xf>
    <xf numFmtId="0" fontId="138" fillId="5" borderId="113" xfId="10" applyFont="1" applyFill="1" applyBorder="1" applyAlignment="1" applyProtection="1">
      <alignment horizontal="left"/>
    </xf>
    <xf numFmtId="0" fontId="0" fillId="0" borderId="114" xfId="0" applyBorder="1" applyAlignment="1" applyProtection="1"/>
    <xf numFmtId="0" fontId="0" fillId="0" borderId="115" xfId="0" applyBorder="1" applyAlignment="1" applyProtection="1"/>
    <xf numFmtId="0" fontId="4" fillId="5" borderId="113" xfId="10" applyFont="1" applyFill="1" applyBorder="1" applyAlignment="1" applyProtection="1">
      <alignment horizontal="left"/>
      <protection locked="0"/>
    </xf>
    <xf numFmtId="173" fontId="157" fillId="5" borderId="118" xfId="10" applyNumberFormat="1" applyFont="1" applyFill="1" applyBorder="1" applyAlignment="1" applyProtection="1">
      <alignment horizontal="center"/>
      <protection hidden="1"/>
    </xf>
    <xf numFmtId="10" fontId="0" fillId="3" borderId="0" xfId="0" applyNumberFormat="1" applyFill="1" applyBorder="1" applyAlignment="1" applyProtection="1">
      <alignment horizontal="center"/>
      <protection locked="0"/>
    </xf>
    <xf numFmtId="0" fontId="0" fillId="0" borderId="0" xfId="0" applyBorder="1" applyAlignment="1" applyProtection="1">
      <protection locked="0"/>
    </xf>
    <xf numFmtId="0" fontId="10" fillId="3" borderId="0"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0" fontId="21" fillId="2" borderId="32" xfId="0" applyFont="1" applyFill="1" applyBorder="1" applyAlignment="1" applyProtection="1">
      <alignment horizontal="center"/>
      <protection locked="0"/>
    </xf>
    <xf numFmtId="0" fontId="21" fillId="2" borderId="17" xfId="0" applyFont="1" applyFill="1" applyBorder="1" applyAlignment="1" applyProtection="1">
      <alignment horizontal="center"/>
      <protection locked="0"/>
    </xf>
    <xf numFmtId="0" fontId="21" fillId="2" borderId="18" xfId="0" applyFont="1" applyFill="1" applyBorder="1" applyAlignment="1" applyProtection="1">
      <alignment horizontal="center"/>
      <protection locked="0"/>
    </xf>
    <xf numFmtId="0" fontId="10" fillId="0" borderId="12"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28"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24" fillId="0" borderId="0" xfId="0" applyFont="1" applyAlignment="1">
      <alignment wrapText="1"/>
    </xf>
    <xf numFmtId="0" fontId="9" fillId="0" borderId="51"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45" xfId="0" applyFont="1" applyBorder="1" applyAlignment="1">
      <alignment horizontal="left" vertical="top" wrapText="1"/>
    </xf>
  </cellXfs>
  <cellStyles count="14">
    <cellStyle name="Comma" xfId="1" builtinId="3"/>
    <cellStyle name="Comma_Net Income Residential 2005" xfId="2" xr:uid="{00000000-0005-0000-0000-000001000000}"/>
    <cellStyle name="Comma_NetIncomeSheet 05" xfId="3" xr:uid="{00000000-0005-0000-0000-000002000000}"/>
    <cellStyle name="Hyperlink" xfId="4" builtinId="8"/>
    <cellStyle name="Normal" xfId="0" builtinId="0"/>
    <cellStyle name="Normal 2" xfId="5" xr:uid="{00000000-0005-0000-0000-000005000000}"/>
    <cellStyle name="Normal 3" xfId="6" xr:uid="{00000000-0005-0000-0000-000006000000}"/>
    <cellStyle name="Normal 3 2" xfId="7" xr:uid="{00000000-0005-0000-0000-000007000000}"/>
    <cellStyle name="Normal 4" xfId="10" xr:uid="{00000000-0005-0000-0000-000008000000}"/>
    <cellStyle name="Normal_Data" xfId="12" xr:uid="{00000000-0005-0000-0000-000009000000}"/>
    <cellStyle name="Percent" xfId="8" builtinId="5"/>
    <cellStyle name="Percent 2" xfId="9" xr:uid="{00000000-0005-0000-0000-00000B000000}"/>
    <cellStyle name="Percent 2 2" xfId="13" xr:uid="{00000000-0005-0000-0000-00000C000000}"/>
    <cellStyle name="Percent 3" xfId="11" xr:uid="{00000000-0005-0000-0000-00000D000000}"/>
  </cellStyles>
  <dxfs count="9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auto="1"/>
      </font>
      <fill>
        <patternFill>
          <bgColor rgb="FF92D050"/>
        </patternFill>
      </fill>
    </dxf>
    <dxf>
      <font>
        <color theme="0"/>
      </font>
    </dxf>
    <dxf>
      <font>
        <color theme="0"/>
      </font>
    </dxf>
    <dxf>
      <fill>
        <patternFill>
          <bgColor rgb="FF92D050"/>
        </patternFill>
      </fill>
    </dxf>
    <dxf>
      <fill>
        <patternFill>
          <bgColor rgb="FFFFCC66"/>
        </patternFill>
      </fill>
    </dxf>
    <dxf>
      <fill>
        <patternFill>
          <bgColor rgb="FFFFCC66"/>
        </patternFill>
      </fill>
    </dxf>
    <dxf>
      <fill>
        <patternFill>
          <bgColor rgb="FF92D050"/>
        </patternFill>
      </fill>
    </dxf>
    <dxf>
      <font>
        <color theme="0"/>
      </font>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2"/>
      </font>
    </dxf>
    <dxf>
      <fill>
        <patternFill>
          <bgColor rgb="FFFFC000"/>
        </patternFill>
      </fill>
    </dxf>
    <dxf>
      <fill>
        <patternFill>
          <bgColor rgb="FF92D050"/>
        </patternFill>
      </fill>
    </dxf>
    <dxf>
      <font>
        <color theme="0"/>
      </font>
      <fill>
        <patternFill>
          <bgColor rgb="FFFF0000"/>
        </patternFill>
      </fill>
    </dxf>
    <dxf>
      <fill>
        <patternFill>
          <bgColor rgb="FFFFC000"/>
        </patternFill>
      </fill>
    </dxf>
    <dxf>
      <font>
        <color theme="0"/>
      </font>
      <border>
        <left/>
        <right/>
        <top/>
        <bottom/>
        <vertical/>
        <horizontal/>
      </border>
    </dxf>
    <dxf>
      <font>
        <color theme="0"/>
      </font>
    </dxf>
    <dxf>
      <font>
        <color theme="0"/>
      </font>
    </dxf>
    <dxf>
      <font>
        <color theme="0"/>
      </font>
    </dxf>
    <dxf>
      <font>
        <color theme="0"/>
      </font>
    </dxf>
    <dxf>
      <border>
        <left/>
        <right/>
        <top/>
        <bottom/>
        <vertical/>
        <horizontal/>
      </border>
    </dxf>
    <dxf>
      <border>
        <left/>
        <right/>
        <top/>
        <bottom/>
        <vertical/>
        <horizontal/>
      </border>
    </dxf>
    <dxf>
      <font>
        <color auto="1"/>
      </font>
      <fill>
        <patternFill>
          <bgColor rgb="FFFFC000"/>
        </patternFill>
      </fill>
    </dxf>
    <dxf>
      <font>
        <color auto="1"/>
      </font>
      <fill>
        <patternFill>
          <bgColor rgb="FFFFC000"/>
        </patternFill>
      </fill>
    </dxf>
    <dxf>
      <font>
        <color rgb="FFFF0000"/>
      </font>
      <fill>
        <patternFill>
          <bgColor theme="0"/>
        </patternFill>
      </fill>
    </dxf>
    <dxf>
      <font>
        <color auto="1"/>
      </font>
    </dxf>
    <dxf>
      <font>
        <color rgb="FFFF0000"/>
      </font>
    </dxf>
    <dxf>
      <font>
        <color theme="0"/>
      </font>
    </dxf>
    <dxf>
      <font>
        <color theme="0"/>
      </font>
    </dxf>
    <dxf>
      <font>
        <color auto="1"/>
      </font>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1"/>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right/>
        <top/>
        <bottom/>
        <vertical/>
        <horizontal/>
      </border>
    </dxf>
    <dxf>
      <font>
        <color theme="0"/>
      </font>
      <fill>
        <patternFill>
          <bgColor theme="1"/>
        </patternFill>
      </fill>
    </dxf>
    <dxf>
      <font>
        <color theme="0"/>
      </font>
      <fill>
        <patternFill>
          <bgColor rgb="FFFF0000"/>
        </patternFill>
      </fill>
    </dxf>
    <dxf>
      <font>
        <condense val="0"/>
        <extend val="0"/>
        <color indexed="9"/>
      </font>
      <fill>
        <patternFill>
          <bgColor theme="1"/>
        </patternFill>
      </fill>
    </dxf>
    <dxf>
      <font>
        <color theme="0"/>
        <name val="Cambria"/>
        <scheme val="none"/>
      </font>
      <fill>
        <patternFill>
          <bgColor indexed="11"/>
        </patternFill>
      </fill>
    </dxf>
    <dxf>
      <font>
        <color theme="0"/>
        <name val="Cambria"/>
        <scheme val="none"/>
      </font>
      <fill>
        <patternFill>
          <bgColor indexed="10"/>
        </patternFill>
      </fill>
    </dxf>
    <dxf>
      <font>
        <condense val="0"/>
        <extend val="0"/>
        <color indexed="9"/>
      </font>
      <fill>
        <patternFill>
          <bgColor indexed="18"/>
        </patternFill>
      </fill>
    </dxf>
    <dxf>
      <font>
        <color theme="0"/>
        <name val="Cambria"/>
        <scheme val="none"/>
      </font>
      <fill>
        <patternFill>
          <bgColor indexed="11"/>
        </patternFill>
      </fill>
    </dxf>
    <dxf>
      <font>
        <color theme="0"/>
        <name val="Cambria"/>
        <scheme val="none"/>
      </font>
      <fill>
        <patternFill>
          <bgColor indexed="10"/>
        </patternFill>
      </fill>
    </dxf>
    <dxf>
      <font>
        <color auto="1"/>
        <name val="Cambria"/>
        <scheme val="none"/>
      </font>
      <fill>
        <patternFill>
          <bgColor rgb="FF92D050"/>
        </patternFill>
      </fill>
    </dxf>
    <dxf>
      <font>
        <color auto="1"/>
        <name val="Cambria"/>
        <scheme val="none"/>
      </font>
      <fill>
        <patternFill>
          <bgColor theme="0"/>
        </patternFill>
      </fill>
    </dxf>
    <dxf>
      <font>
        <condense val="0"/>
        <extend val="0"/>
        <color auto="1"/>
      </font>
      <fill>
        <patternFill>
          <bgColor indexed="10"/>
        </patternFill>
      </fill>
    </dxf>
    <dxf>
      <font>
        <color theme="0"/>
        <name val="Cambria"/>
        <scheme val="none"/>
      </font>
      <fill>
        <patternFill>
          <bgColor indexed="10"/>
        </patternFill>
      </fill>
    </dxf>
    <dxf>
      <font>
        <color auto="1"/>
        <name val="Cambria"/>
        <scheme val="none"/>
      </font>
      <fill>
        <patternFill>
          <bgColor rgb="FF92D050"/>
        </patternFill>
      </fill>
    </dxf>
  </dxfs>
  <tableStyles count="1" defaultTableStyle="TableStyleMedium9" defaultPivotStyle="PivotStyleLight16">
    <tableStyle name="MySqlDefault" pivot="0" table="0" count="0" xr9:uid="{EFE0EDE0-003B-46E3-86B5-13F02BF1DFF3}"/>
  </tableStyles>
  <colors>
    <mruColors>
      <color rgb="FFD96709"/>
      <color rgb="FFD06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45946</xdr:colOff>
      <xdr:row>169</xdr:row>
      <xdr:rowOff>152400</xdr:rowOff>
    </xdr:from>
    <xdr:to>
      <xdr:col>4</xdr:col>
      <xdr:colOff>53790</xdr:colOff>
      <xdr:row>172</xdr:row>
      <xdr:rowOff>0</xdr:rowOff>
    </xdr:to>
    <xdr:sp macro="" textlink="">
      <xdr:nvSpPr>
        <xdr:cNvPr id="66574" name="Text Box 16">
          <a:extLst>
            <a:ext uri="{FF2B5EF4-FFF2-40B4-BE49-F238E27FC236}">
              <a16:creationId xmlns:a16="http://schemas.microsoft.com/office/drawing/2014/main" id="{00000000-0008-0000-0100-00000E040100}"/>
            </a:ext>
          </a:extLst>
        </xdr:cNvPr>
        <xdr:cNvSpPr txBox="1">
          <a:spLocks noChangeArrowheads="1"/>
        </xdr:cNvSpPr>
      </xdr:nvSpPr>
      <xdr:spPr bwMode="auto">
        <a:xfrm>
          <a:off x="236446" y="29679900"/>
          <a:ext cx="5734050" cy="318247"/>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en-IE" sz="1100" b="1" i="0" u="none" strike="noStrike" baseline="0">
              <a:solidFill>
                <a:srgbClr val="000000"/>
              </a:solidFill>
              <a:latin typeface="Calibri"/>
            </a:rPr>
            <a:t>Warning: You may have to pay charges if you pay off a fixed rate loan early</a:t>
          </a:r>
        </a:p>
      </xdr:txBody>
    </xdr:sp>
    <xdr:clientData/>
  </xdr:twoCellAnchor>
  <xdr:twoCellAnchor>
    <xdr:from>
      <xdr:col>1</xdr:col>
      <xdr:colOff>45946</xdr:colOff>
      <xdr:row>167</xdr:row>
      <xdr:rowOff>66675</xdr:rowOff>
    </xdr:from>
    <xdr:to>
      <xdr:col>4</xdr:col>
      <xdr:colOff>53790</xdr:colOff>
      <xdr:row>169</xdr:row>
      <xdr:rowOff>76200</xdr:rowOff>
    </xdr:to>
    <xdr:sp macro="" textlink="">
      <xdr:nvSpPr>
        <xdr:cNvPr id="66573" name="Text Box 13">
          <a:extLst>
            <a:ext uri="{FF2B5EF4-FFF2-40B4-BE49-F238E27FC236}">
              <a16:creationId xmlns:a16="http://schemas.microsoft.com/office/drawing/2014/main" id="{00000000-0008-0000-0100-00000D040100}"/>
            </a:ext>
          </a:extLst>
        </xdr:cNvPr>
        <xdr:cNvSpPr txBox="1">
          <a:spLocks noChangeArrowheads="1"/>
        </xdr:cNvSpPr>
      </xdr:nvSpPr>
      <xdr:spPr bwMode="auto">
        <a:xfrm>
          <a:off x="236446" y="29280410"/>
          <a:ext cx="5734050" cy="32329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en-IE" sz="1100" b="1" i="0" u="none" strike="noStrike" baseline="0">
              <a:solidFill>
                <a:srgbClr val="000000"/>
              </a:solidFill>
              <a:latin typeface="Calibri"/>
            </a:rPr>
            <a:t>Warning: The cost of your monthly repayments may increase</a:t>
          </a:r>
        </a:p>
      </xdr:txBody>
    </xdr:sp>
    <xdr:clientData/>
  </xdr:twoCellAnchor>
  <xdr:twoCellAnchor>
    <xdr:from>
      <xdr:col>1</xdr:col>
      <xdr:colOff>19050</xdr:colOff>
      <xdr:row>184</xdr:row>
      <xdr:rowOff>38100</xdr:rowOff>
    </xdr:from>
    <xdr:to>
      <xdr:col>3</xdr:col>
      <xdr:colOff>180975</xdr:colOff>
      <xdr:row>187</xdr:row>
      <xdr:rowOff>28575</xdr:rowOff>
    </xdr:to>
    <xdr:sp macro="" textlink="">
      <xdr:nvSpPr>
        <xdr:cNvPr id="66572" name="Text Box 2">
          <a:extLst>
            <a:ext uri="{FF2B5EF4-FFF2-40B4-BE49-F238E27FC236}">
              <a16:creationId xmlns:a16="http://schemas.microsoft.com/office/drawing/2014/main" id="{00000000-0008-0000-0100-00000C040100}"/>
            </a:ext>
          </a:extLst>
        </xdr:cNvPr>
        <xdr:cNvSpPr txBox="1">
          <a:spLocks noChangeArrowheads="1"/>
        </xdr:cNvSpPr>
      </xdr:nvSpPr>
      <xdr:spPr bwMode="auto">
        <a:xfrm>
          <a:off x="209550" y="42586275"/>
          <a:ext cx="5686425" cy="4762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en-IE" sz="1100" b="1" i="0" u="none" strike="noStrike" baseline="0">
              <a:solidFill>
                <a:srgbClr val="000000"/>
              </a:solidFill>
              <a:latin typeface="Calibri"/>
            </a:rPr>
            <a:t>Warning: Your home is at risk if you do not keep up payments on a mortgage or any other loan secured on it.</a:t>
          </a:r>
        </a:p>
      </xdr:txBody>
    </xdr:sp>
    <xdr:clientData/>
  </xdr:twoCellAnchor>
  <xdr:twoCellAnchor>
    <xdr:from>
      <xdr:col>0</xdr:col>
      <xdr:colOff>186105</xdr:colOff>
      <xdr:row>197</xdr:row>
      <xdr:rowOff>47625</xdr:rowOff>
    </xdr:from>
    <xdr:to>
      <xdr:col>4</xdr:col>
      <xdr:colOff>7328</xdr:colOff>
      <xdr:row>200</xdr:row>
      <xdr:rowOff>0</xdr:rowOff>
    </xdr:to>
    <xdr:sp macro="" textlink="">
      <xdr:nvSpPr>
        <xdr:cNvPr id="66569" name="Text Box 3">
          <a:extLst>
            <a:ext uri="{FF2B5EF4-FFF2-40B4-BE49-F238E27FC236}">
              <a16:creationId xmlns:a16="http://schemas.microsoft.com/office/drawing/2014/main" id="{00000000-0008-0000-0100-000009040100}"/>
            </a:ext>
          </a:extLst>
        </xdr:cNvPr>
        <xdr:cNvSpPr txBox="1">
          <a:spLocks noChangeArrowheads="1"/>
        </xdr:cNvSpPr>
      </xdr:nvSpPr>
      <xdr:spPr bwMode="auto">
        <a:xfrm>
          <a:off x="186105" y="38272183"/>
          <a:ext cx="5734050" cy="474052"/>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en-IE" sz="1100" b="1" i="0" u="none" strike="noStrike" baseline="0">
              <a:solidFill>
                <a:srgbClr val="000000"/>
              </a:solidFill>
              <a:latin typeface="Calibri"/>
            </a:rPr>
            <a:t>Warning: The payment rates on this housing loan may be adjusted by the lender from time to time.</a:t>
          </a:r>
        </a:p>
      </xdr:txBody>
    </xdr:sp>
    <xdr:clientData/>
  </xdr:twoCellAnchor>
  <xdr:twoCellAnchor>
    <xdr:from>
      <xdr:col>1</xdr:col>
      <xdr:colOff>19050</xdr:colOff>
      <xdr:row>188</xdr:row>
      <xdr:rowOff>9525</xdr:rowOff>
    </xdr:from>
    <xdr:to>
      <xdr:col>3</xdr:col>
      <xdr:colOff>180975</xdr:colOff>
      <xdr:row>191</xdr:row>
      <xdr:rowOff>0</xdr:rowOff>
    </xdr:to>
    <xdr:sp macro="" textlink="">
      <xdr:nvSpPr>
        <xdr:cNvPr id="66570" name="Text Box 4">
          <a:extLst>
            <a:ext uri="{FF2B5EF4-FFF2-40B4-BE49-F238E27FC236}">
              <a16:creationId xmlns:a16="http://schemas.microsoft.com/office/drawing/2014/main" id="{00000000-0008-0000-0100-00000A040100}"/>
            </a:ext>
          </a:extLst>
        </xdr:cNvPr>
        <xdr:cNvSpPr txBox="1">
          <a:spLocks noChangeArrowheads="1"/>
        </xdr:cNvSpPr>
      </xdr:nvSpPr>
      <xdr:spPr bwMode="auto">
        <a:xfrm>
          <a:off x="209550" y="43205400"/>
          <a:ext cx="5686425" cy="4762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en-IE" sz="1100" b="1" i="0" u="none" strike="noStrike" baseline="0">
              <a:solidFill>
                <a:srgbClr val="000000"/>
              </a:solidFill>
              <a:latin typeface="Calibri"/>
            </a:rPr>
            <a:t>Warning: If you do not meet repayments on your loan, your account will go into arrears. This may affect your credit rating, which may limit your ability to access credit in the future.</a:t>
          </a:r>
        </a:p>
      </xdr:txBody>
    </xdr:sp>
    <xdr:clientData/>
  </xdr:twoCellAnchor>
  <xdr:twoCellAnchor>
    <xdr:from>
      <xdr:col>1</xdr:col>
      <xdr:colOff>19050</xdr:colOff>
      <xdr:row>191</xdr:row>
      <xdr:rowOff>152400</xdr:rowOff>
    </xdr:from>
    <xdr:to>
      <xdr:col>3</xdr:col>
      <xdr:colOff>180975</xdr:colOff>
      <xdr:row>194</xdr:row>
      <xdr:rowOff>142875</xdr:rowOff>
    </xdr:to>
    <xdr:sp macro="" textlink="">
      <xdr:nvSpPr>
        <xdr:cNvPr id="66571" name="Text Box 5">
          <a:extLst>
            <a:ext uri="{FF2B5EF4-FFF2-40B4-BE49-F238E27FC236}">
              <a16:creationId xmlns:a16="http://schemas.microsoft.com/office/drawing/2014/main" id="{00000000-0008-0000-0100-00000B040100}"/>
            </a:ext>
          </a:extLst>
        </xdr:cNvPr>
        <xdr:cNvSpPr txBox="1">
          <a:spLocks noChangeArrowheads="1"/>
        </xdr:cNvSpPr>
      </xdr:nvSpPr>
      <xdr:spPr bwMode="auto">
        <a:xfrm>
          <a:off x="209550" y="43834050"/>
          <a:ext cx="5686425" cy="4762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en-IE" sz="1100" b="1" i="0" u="none" strike="noStrike" baseline="0">
              <a:solidFill>
                <a:srgbClr val="000000"/>
              </a:solidFill>
              <a:latin typeface="Calibri"/>
            </a:rPr>
            <a:t>Warning: The cost of your monthly repayments may increase.</a:t>
          </a:r>
        </a:p>
      </xdr:txBody>
    </xdr:sp>
    <xdr:clientData/>
  </xdr:twoCellAnchor>
  <xdr:twoCellAnchor>
    <xdr:from>
      <xdr:col>1</xdr:col>
      <xdr:colOff>44265</xdr:colOff>
      <xdr:row>209</xdr:row>
      <xdr:rowOff>95250</xdr:rowOff>
    </xdr:from>
    <xdr:to>
      <xdr:col>4</xdr:col>
      <xdr:colOff>52109</xdr:colOff>
      <xdr:row>212</xdr:row>
      <xdr:rowOff>85725</xdr:rowOff>
    </xdr:to>
    <xdr:sp macro="" textlink="">
      <xdr:nvSpPr>
        <xdr:cNvPr id="66568" name="Text Box 6">
          <a:extLst>
            <a:ext uri="{FF2B5EF4-FFF2-40B4-BE49-F238E27FC236}">
              <a16:creationId xmlns:a16="http://schemas.microsoft.com/office/drawing/2014/main" id="{00000000-0008-0000-0100-000008040100}"/>
            </a:ext>
          </a:extLst>
        </xdr:cNvPr>
        <xdr:cNvSpPr txBox="1">
          <a:spLocks noChangeArrowheads="1"/>
        </xdr:cNvSpPr>
      </xdr:nvSpPr>
      <xdr:spPr bwMode="auto">
        <a:xfrm>
          <a:off x="234765" y="38296103"/>
          <a:ext cx="5734050" cy="461122"/>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en-IE" sz="1100" b="1" i="0" u="none" strike="noStrike" baseline="0">
              <a:solidFill>
                <a:srgbClr val="000000"/>
              </a:solidFill>
              <a:latin typeface="Calibri"/>
            </a:rPr>
            <a:t>Warning: You may have to pay charges if you pay off a fixed rate loan early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87</xdr:row>
      <xdr:rowOff>0</xdr:rowOff>
    </xdr:from>
    <xdr:to>
      <xdr:col>10</xdr:col>
      <xdr:colOff>533400</xdr:colOff>
      <xdr:row>87</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13039725" y="13877925"/>
          <a:ext cx="0" cy="0"/>
        </a:xfrm>
        <a:prstGeom prst="line">
          <a:avLst/>
        </a:prstGeom>
        <a:noFill/>
        <a:ln w="9525">
          <a:solidFill>
            <a:srgbClr val="000000"/>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3" name="Line 31">
          <a:extLst>
            <a:ext uri="{FF2B5EF4-FFF2-40B4-BE49-F238E27FC236}">
              <a16:creationId xmlns:a16="http://schemas.microsoft.com/office/drawing/2014/main" id="{00000000-0008-0000-0400-000003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4" name="Line 32">
          <a:extLst>
            <a:ext uri="{FF2B5EF4-FFF2-40B4-BE49-F238E27FC236}">
              <a16:creationId xmlns:a16="http://schemas.microsoft.com/office/drawing/2014/main" id="{00000000-0008-0000-0400-000004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5" name="Line 33">
          <a:extLst>
            <a:ext uri="{FF2B5EF4-FFF2-40B4-BE49-F238E27FC236}">
              <a16:creationId xmlns:a16="http://schemas.microsoft.com/office/drawing/2014/main" id="{00000000-0008-0000-0400-000005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6" name="Line 34">
          <a:extLst>
            <a:ext uri="{FF2B5EF4-FFF2-40B4-BE49-F238E27FC236}">
              <a16:creationId xmlns:a16="http://schemas.microsoft.com/office/drawing/2014/main" id="{00000000-0008-0000-0400-000006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7" name="Line 35">
          <a:extLst>
            <a:ext uri="{FF2B5EF4-FFF2-40B4-BE49-F238E27FC236}">
              <a16:creationId xmlns:a16="http://schemas.microsoft.com/office/drawing/2014/main" id="{00000000-0008-0000-0400-000007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8" name="Line 36">
          <a:extLst>
            <a:ext uri="{FF2B5EF4-FFF2-40B4-BE49-F238E27FC236}">
              <a16:creationId xmlns:a16="http://schemas.microsoft.com/office/drawing/2014/main" id="{00000000-0008-0000-0400-000008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5</xdr:row>
      <xdr:rowOff>0</xdr:rowOff>
    </xdr:from>
    <xdr:to>
      <xdr:col>27</xdr:col>
      <xdr:colOff>609600</xdr:colOff>
      <xdr:row>5</xdr:row>
      <xdr:rowOff>0</xdr:rowOff>
    </xdr:to>
    <xdr:sp macro="" textlink="">
      <xdr:nvSpPr>
        <xdr:cNvPr id="9" name="Line 31">
          <a:extLst>
            <a:ext uri="{FF2B5EF4-FFF2-40B4-BE49-F238E27FC236}">
              <a16:creationId xmlns:a16="http://schemas.microsoft.com/office/drawing/2014/main" id="{00000000-0008-0000-0400-000009000000}"/>
            </a:ext>
          </a:extLst>
        </xdr:cNvPr>
        <xdr:cNvSpPr>
          <a:spLocks noChangeShapeType="1"/>
        </xdr:cNvSpPr>
      </xdr:nvSpPr>
      <xdr:spPr bwMode="auto">
        <a:xfrm>
          <a:off x="14735175" y="155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5</xdr:row>
      <xdr:rowOff>0</xdr:rowOff>
    </xdr:from>
    <xdr:to>
      <xdr:col>27</xdr:col>
      <xdr:colOff>609600</xdr:colOff>
      <xdr:row>5</xdr:row>
      <xdr:rowOff>0</xdr:rowOff>
    </xdr:to>
    <xdr:sp macro="" textlink="">
      <xdr:nvSpPr>
        <xdr:cNvPr id="10" name="Line 34">
          <a:extLst>
            <a:ext uri="{FF2B5EF4-FFF2-40B4-BE49-F238E27FC236}">
              <a16:creationId xmlns:a16="http://schemas.microsoft.com/office/drawing/2014/main" id="{00000000-0008-0000-0400-00000A000000}"/>
            </a:ext>
          </a:extLst>
        </xdr:cNvPr>
        <xdr:cNvSpPr>
          <a:spLocks noChangeShapeType="1"/>
        </xdr:cNvSpPr>
      </xdr:nvSpPr>
      <xdr:spPr bwMode="auto">
        <a:xfrm>
          <a:off x="14735175" y="155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3</xdr:row>
      <xdr:rowOff>0</xdr:rowOff>
    </xdr:from>
    <xdr:to>
      <xdr:col>27</xdr:col>
      <xdr:colOff>609600</xdr:colOff>
      <xdr:row>3</xdr:row>
      <xdr:rowOff>0</xdr:rowOff>
    </xdr:to>
    <xdr:sp macro="" textlink="">
      <xdr:nvSpPr>
        <xdr:cNvPr id="11" name="Line 31">
          <a:extLst>
            <a:ext uri="{FF2B5EF4-FFF2-40B4-BE49-F238E27FC236}">
              <a16:creationId xmlns:a16="http://schemas.microsoft.com/office/drawing/2014/main" id="{00000000-0008-0000-0400-00000B000000}"/>
            </a:ext>
          </a:extLst>
        </xdr:cNvPr>
        <xdr:cNvSpPr>
          <a:spLocks noChangeShapeType="1"/>
        </xdr:cNvSpPr>
      </xdr:nvSpPr>
      <xdr:spPr bwMode="auto">
        <a:xfrm>
          <a:off x="14735175" y="104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3</xdr:row>
      <xdr:rowOff>0</xdr:rowOff>
    </xdr:from>
    <xdr:to>
      <xdr:col>27</xdr:col>
      <xdr:colOff>609600</xdr:colOff>
      <xdr:row>3</xdr:row>
      <xdr:rowOff>0</xdr:rowOff>
    </xdr:to>
    <xdr:sp macro="" textlink="">
      <xdr:nvSpPr>
        <xdr:cNvPr id="12" name="Line 34">
          <a:extLst>
            <a:ext uri="{FF2B5EF4-FFF2-40B4-BE49-F238E27FC236}">
              <a16:creationId xmlns:a16="http://schemas.microsoft.com/office/drawing/2014/main" id="{00000000-0008-0000-0400-00000C000000}"/>
            </a:ext>
          </a:extLst>
        </xdr:cNvPr>
        <xdr:cNvSpPr>
          <a:spLocks noChangeShapeType="1"/>
        </xdr:cNvSpPr>
      </xdr:nvSpPr>
      <xdr:spPr bwMode="auto">
        <a:xfrm>
          <a:off x="14735175" y="104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13" name="Line 31">
          <a:extLst>
            <a:ext uri="{FF2B5EF4-FFF2-40B4-BE49-F238E27FC236}">
              <a16:creationId xmlns:a16="http://schemas.microsoft.com/office/drawing/2014/main" id="{00000000-0008-0000-0400-00000D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14" name="Line 34">
          <a:extLst>
            <a:ext uri="{FF2B5EF4-FFF2-40B4-BE49-F238E27FC236}">
              <a16:creationId xmlns:a16="http://schemas.microsoft.com/office/drawing/2014/main" id="{00000000-0008-0000-0400-00000E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15" name="Line 31">
          <a:extLst>
            <a:ext uri="{FF2B5EF4-FFF2-40B4-BE49-F238E27FC236}">
              <a16:creationId xmlns:a16="http://schemas.microsoft.com/office/drawing/2014/main" id="{00000000-0008-0000-0400-00000F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16" name="Line 32">
          <a:extLst>
            <a:ext uri="{FF2B5EF4-FFF2-40B4-BE49-F238E27FC236}">
              <a16:creationId xmlns:a16="http://schemas.microsoft.com/office/drawing/2014/main" id="{00000000-0008-0000-0400-000010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17" name="Line 33">
          <a:extLst>
            <a:ext uri="{FF2B5EF4-FFF2-40B4-BE49-F238E27FC236}">
              <a16:creationId xmlns:a16="http://schemas.microsoft.com/office/drawing/2014/main" id="{00000000-0008-0000-0400-000011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18" name="Line 34">
          <a:extLst>
            <a:ext uri="{FF2B5EF4-FFF2-40B4-BE49-F238E27FC236}">
              <a16:creationId xmlns:a16="http://schemas.microsoft.com/office/drawing/2014/main" id="{00000000-0008-0000-0400-000012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19" name="Line 35">
          <a:extLst>
            <a:ext uri="{FF2B5EF4-FFF2-40B4-BE49-F238E27FC236}">
              <a16:creationId xmlns:a16="http://schemas.microsoft.com/office/drawing/2014/main" id="{00000000-0008-0000-0400-000013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20" name="Line 36">
          <a:extLst>
            <a:ext uri="{FF2B5EF4-FFF2-40B4-BE49-F238E27FC236}">
              <a16:creationId xmlns:a16="http://schemas.microsoft.com/office/drawing/2014/main" id="{00000000-0008-0000-0400-000014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5</xdr:row>
      <xdr:rowOff>0</xdr:rowOff>
    </xdr:from>
    <xdr:to>
      <xdr:col>27</xdr:col>
      <xdr:colOff>609600</xdr:colOff>
      <xdr:row>5</xdr:row>
      <xdr:rowOff>0</xdr:rowOff>
    </xdr:to>
    <xdr:sp macro="" textlink="">
      <xdr:nvSpPr>
        <xdr:cNvPr id="21" name="Line 31">
          <a:extLst>
            <a:ext uri="{FF2B5EF4-FFF2-40B4-BE49-F238E27FC236}">
              <a16:creationId xmlns:a16="http://schemas.microsoft.com/office/drawing/2014/main" id="{00000000-0008-0000-0400-000015000000}"/>
            </a:ext>
          </a:extLst>
        </xdr:cNvPr>
        <xdr:cNvSpPr>
          <a:spLocks noChangeShapeType="1"/>
        </xdr:cNvSpPr>
      </xdr:nvSpPr>
      <xdr:spPr bwMode="auto">
        <a:xfrm>
          <a:off x="14735175" y="155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5</xdr:row>
      <xdr:rowOff>0</xdr:rowOff>
    </xdr:from>
    <xdr:to>
      <xdr:col>27</xdr:col>
      <xdr:colOff>609600</xdr:colOff>
      <xdr:row>5</xdr:row>
      <xdr:rowOff>0</xdr:rowOff>
    </xdr:to>
    <xdr:sp macro="" textlink="">
      <xdr:nvSpPr>
        <xdr:cNvPr id="22" name="Line 34">
          <a:extLst>
            <a:ext uri="{FF2B5EF4-FFF2-40B4-BE49-F238E27FC236}">
              <a16:creationId xmlns:a16="http://schemas.microsoft.com/office/drawing/2014/main" id="{00000000-0008-0000-0400-000016000000}"/>
            </a:ext>
          </a:extLst>
        </xdr:cNvPr>
        <xdr:cNvSpPr>
          <a:spLocks noChangeShapeType="1"/>
        </xdr:cNvSpPr>
      </xdr:nvSpPr>
      <xdr:spPr bwMode="auto">
        <a:xfrm>
          <a:off x="14735175" y="155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3</xdr:row>
      <xdr:rowOff>0</xdr:rowOff>
    </xdr:from>
    <xdr:to>
      <xdr:col>27</xdr:col>
      <xdr:colOff>609600</xdr:colOff>
      <xdr:row>3</xdr:row>
      <xdr:rowOff>0</xdr:rowOff>
    </xdr:to>
    <xdr:sp macro="" textlink="">
      <xdr:nvSpPr>
        <xdr:cNvPr id="23" name="Line 31">
          <a:extLst>
            <a:ext uri="{FF2B5EF4-FFF2-40B4-BE49-F238E27FC236}">
              <a16:creationId xmlns:a16="http://schemas.microsoft.com/office/drawing/2014/main" id="{00000000-0008-0000-0400-000017000000}"/>
            </a:ext>
          </a:extLst>
        </xdr:cNvPr>
        <xdr:cNvSpPr>
          <a:spLocks noChangeShapeType="1"/>
        </xdr:cNvSpPr>
      </xdr:nvSpPr>
      <xdr:spPr bwMode="auto">
        <a:xfrm>
          <a:off x="14735175" y="104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3</xdr:row>
      <xdr:rowOff>0</xdr:rowOff>
    </xdr:from>
    <xdr:to>
      <xdr:col>27</xdr:col>
      <xdr:colOff>609600</xdr:colOff>
      <xdr:row>3</xdr:row>
      <xdr:rowOff>0</xdr:rowOff>
    </xdr:to>
    <xdr:sp macro="" textlink="">
      <xdr:nvSpPr>
        <xdr:cNvPr id="24" name="Line 34">
          <a:extLst>
            <a:ext uri="{FF2B5EF4-FFF2-40B4-BE49-F238E27FC236}">
              <a16:creationId xmlns:a16="http://schemas.microsoft.com/office/drawing/2014/main" id="{00000000-0008-0000-0400-000018000000}"/>
            </a:ext>
          </a:extLst>
        </xdr:cNvPr>
        <xdr:cNvSpPr>
          <a:spLocks noChangeShapeType="1"/>
        </xdr:cNvSpPr>
      </xdr:nvSpPr>
      <xdr:spPr bwMode="auto">
        <a:xfrm>
          <a:off x="14735175" y="104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25" name="Line 31">
          <a:extLst>
            <a:ext uri="{FF2B5EF4-FFF2-40B4-BE49-F238E27FC236}">
              <a16:creationId xmlns:a16="http://schemas.microsoft.com/office/drawing/2014/main" id="{00000000-0008-0000-0400-000019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26" name="Line 34">
          <a:extLst>
            <a:ext uri="{FF2B5EF4-FFF2-40B4-BE49-F238E27FC236}">
              <a16:creationId xmlns:a16="http://schemas.microsoft.com/office/drawing/2014/main" id="{00000000-0008-0000-0400-00001A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11</xdr:row>
      <xdr:rowOff>0</xdr:rowOff>
    </xdr:from>
    <xdr:to>
      <xdr:col>27</xdr:col>
      <xdr:colOff>609600</xdr:colOff>
      <xdr:row>11</xdr:row>
      <xdr:rowOff>0</xdr:rowOff>
    </xdr:to>
    <xdr:sp macro="" textlink="">
      <xdr:nvSpPr>
        <xdr:cNvPr id="27" name="Line 31">
          <a:extLst>
            <a:ext uri="{FF2B5EF4-FFF2-40B4-BE49-F238E27FC236}">
              <a16:creationId xmlns:a16="http://schemas.microsoft.com/office/drawing/2014/main" id="{00000000-0008-0000-0400-00001B000000}"/>
            </a:ext>
          </a:extLst>
        </xdr:cNvPr>
        <xdr:cNvSpPr>
          <a:spLocks noChangeShapeType="1"/>
        </xdr:cNvSpPr>
      </xdr:nvSpPr>
      <xdr:spPr bwMode="auto">
        <a:xfrm>
          <a:off x="14735175" y="240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11</xdr:row>
      <xdr:rowOff>0</xdr:rowOff>
    </xdr:from>
    <xdr:to>
      <xdr:col>27</xdr:col>
      <xdr:colOff>609600</xdr:colOff>
      <xdr:row>11</xdr:row>
      <xdr:rowOff>0</xdr:rowOff>
    </xdr:to>
    <xdr:sp macro="" textlink="">
      <xdr:nvSpPr>
        <xdr:cNvPr id="28" name="Line 34">
          <a:extLst>
            <a:ext uri="{FF2B5EF4-FFF2-40B4-BE49-F238E27FC236}">
              <a16:creationId xmlns:a16="http://schemas.microsoft.com/office/drawing/2014/main" id="{00000000-0008-0000-0400-00001C000000}"/>
            </a:ext>
          </a:extLst>
        </xdr:cNvPr>
        <xdr:cNvSpPr>
          <a:spLocks noChangeShapeType="1"/>
        </xdr:cNvSpPr>
      </xdr:nvSpPr>
      <xdr:spPr bwMode="auto">
        <a:xfrm>
          <a:off x="14735175" y="240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12</xdr:row>
      <xdr:rowOff>0</xdr:rowOff>
    </xdr:from>
    <xdr:to>
      <xdr:col>27</xdr:col>
      <xdr:colOff>609600</xdr:colOff>
      <xdr:row>12</xdr:row>
      <xdr:rowOff>0</xdr:rowOff>
    </xdr:to>
    <xdr:sp macro="" textlink="">
      <xdr:nvSpPr>
        <xdr:cNvPr id="29" name="Line 31">
          <a:extLst>
            <a:ext uri="{FF2B5EF4-FFF2-40B4-BE49-F238E27FC236}">
              <a16:creationId xmlns:a16="http://schemas.microsoft.com/office/drawing/2014/main" id="{00000000-0008-0000-0400-00001D000000}"/>
            </a:ext>
          </a:extLst>
        </xdr:cNvPr>
        <xdr:cNvSpPr>
          <a:spLocks noChangeShapeType="1"/>
        </xdr:cNvSpPr>
      </xdr:nvSpPr>
      <xdr:spPr bwMode="auto">
        <a:xfrm>
          <a:off x="14735175"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12</xdr:row>
      <xdr:rowOff>0</xdr:rowOff>
    </xdr:from>
    <xdr:to>
      <xdr:col>27</xdr:col>
      <xdr:colOff>609600</xdr:colOff>
      <xdr:row>12</xdr:row>
      <xdr:rowOff>0</xdr:rowOff>
    </xdr:to>
    <xdr:sp macro="" textlink="">
      <xdr:nvSpPr>
        <xdr:cNvPr id="30" name="Line 34">
          <a:extLst>
            <a:ext uri="{FF2B5EF4-FFF2-40B4-BE49-F238E27FC236}">
              <a16:creationId xmlns:a16="http://schemas.microsoft.com/office/drawing/2014/main" id="{00000000-0008-0000-0400-00001E000000}"/>
            </a:ext>
          </a:extLst>
        </xdr:cNvPr>
        <xdr:cNvSpPr>
          <a:spLocks noChangeShapeType="1"/>
        </xdr:cNvSpPr>
      </xdr:nvSpPr>
      <xdr:spPr bwMode="auto">
        <a:xfrm>
          <a:off x="14735175"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11</xdr:row>
      <xdr:rowOff>0</xdr:rowOff>
    </xdr:from>
    <xdr:to>
      <xdr:col>27</xdr:col>
      <xdr:colOff>609600</xdr:colOff>
      <xdr:row>11</xdr:row>
      <xdr:rowOff>0</xdr:rowOff>
    </xdr:to>
    <xdr:sp macro="" textlink="">
      <xdr:nvSpPr>
        <xdr:cNvPr id="31" name="Line 31">
          <a:extLst>
            <a:ext uri="{FF2B5EF4-FFF2-40B4-BE49-F238E27FC236}">
              <a16:creationId xmlns:a16="http://schemas.microsoft.com/office/drawing/2014/main" id="{00000000-0008-0000-0400-00001F000000}"/>
            </a:ext>
          </a:extLst>
        </xdr:cNvPr>
        <xdr:cNvSpPr>
          <a:spLocks noChangeShapeType="1"/>
        </xdr:cNvSpPr>
      </xdr:nvSpPr>
      <xdr:spPr bwMode="auto">
        <a:xfrm>
          <a:off x="14735175" y="240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11</xdr:row>
      <xdr:rowOff>0</xdr:rowOff>
    </xdr:from>
    <xdr:to>
      <xdr:col>27</xdr:col>
      <xdr:colOff>609600</xdr:colOff>
      <xdr:row>11</xdr:row>
      <xdr:rowOff>0</xdr:rowOff>
    </xdr:to>
    <xdr:sp macro="" textlink="">
      <xdr:nvSpPr>
        <xdr:cNvPr id="32" name="Line 34">
          <a:extLst>
            <a:ext uri="{FF2B5EF4-FFF2-40B4-BE49-F238E27FC236}">
              <a16:creationId xmlns:a16="http://schemas.microsoft.com/office/drawing/2014/main" id="{00000000-0008-0000-0400-000020000000}"/>
            </a:ext>
          </a:extLst>
        </xdr:cNvPr>
        <xdr:cNvSpPr>
          <a:spLocks noChangeShapeType="1"/>
        </xdr:cNvSpPr>
      </xdr:nvSpPr>
      <xdr:spPr bwMode="auto">
        <a:xfrm>
          <a:off x="14735175" y="240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33" name="Line 31">
          <a:extLst>
            <a:ext uri="{FF2B5EF4-FFF2-40B4-BE49-F238E27FC236}">
              <a16:creationId xmlns:a16="http://schemas.microsoft.com/office/drawing/2014/main" id="{00000000-0008-0000-0400-000021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34" name="Line 32">
          <a:extLst>
            <a:ext uri="{FF2B5EF4-FFF2-40B4-BE49-F238E27FC236}">
              <a16:creationId xmlns:a16="http://schemas.microsoft.com/office/drawing/2014/main" id="{00000000-0008-0000-0400-000022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35" name="Line 33">
          <a:extLst>
            <a:ext uri="{FF2B5EF4-FFF2-40B4-BE49-F238E27FC236}">
              <a16:creationId xmlns:a16="http://schemas.microsoft.com/office/drawing/2014/main" id="{00000000-0008-0000-0400-000023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36" name="Line 34">
          <a:extLst>
            <a:ext uri="{FF2B5EF4-FFF2-40B4-BE49-F238E27FC236}">
              <a16:creationId xmlns:a16="http://schemas.microsoft.com/office/drawing/2014/main" id="{00000000-0008-0000-0400-000024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37" name="Line 35">
          <a:extLst>
            <a:ext uri="{FF2B5EF4-FFF2-40B4-BE49-F238E27FC236}">
              <a16:creationId xmlns:a16="http://schemas.microsoft.com/office/drawing/2014/main" id="{00000000-0008-0000-0400-000025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6</xdr:row>
      <xdr:rowOff>0</xdr:rowOff>
    </xdr:from>
    <xdr:to>
      <xdr:col>27</xdr:col>
      <xdr:colOff>609600</xdr:colOff>
      <xdr:row>6</xdr:row>
      <xdr:rowOff>0</xdr:rowOff>
    </xdr:to>
    <xdr:sp macro="" textlink="">
      <xdr:nvSpPr>
        <xdr:cNvPr id="38" name="Line 36">
          <a:extLst>
            <a:ext uri="{FF2B5EF4-FFF2-40B4-BE49-F238E27FC236}">
              <a16:creationId xmlns:a16="http://schemas.microsoft.com/office/drawing/2014/main" id="{00000000-0008-0000-0400-000026000000}"/>
            </a:ext>
          </a:extLst>
        </xdr:cNvPr>
        <xdr:cNvSpPr>
          <a:spLocks noChangeShapeType="1"/>
        </xdr:cNvSpPr>
      </xdr:nvSpPr>
      <xdr:spPr bwMode="auto">
        <a:xfrm>
          <a:off x="14735175" y="178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5</xdr:row>
      <xdr:rowOff>0</xdr:rowOff>
    </xdr:from>
    <xdr:to>
      <xdr:col>27</xdr:col>
      <xdr:colOff>609600</xdr:colOff>
      <xdr:row>5</xdr:row>
      <xdr:rowOff>0</xdr:rowOff>
    </xdr:to>
    <xdr:sp macro="" textlink="">
      <xdr:nvSpPr>
        <xdr:cNvPr id="39" name="Line 31">
          <a:extLst>
            <a:ext uri="{FF2B5EF4-FFF2-40B4-BE49-F238E27FC236}">
              <a16:creationId xmlns:a16="http://schemas.microsoft.com/office/drawing/2014/main" id="{00000000-0008-0000-0400-000027000000}"/>
            </a:ext>
          </a:extLst>
        </xdr:cNvPr>
        <xdr:cNvSpPr>
          <a:spLocks noChangeShapeType="1"/>
        </xdr:cNvSpPr>
      </xdr:nvSpPr>
      <xdr:spPr bwMode="auto">
        <a:xfrm>
          <a:off x="14735175" y="155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5</xdr:row>
      <xdr:rowOff>0</xdr:rowOff>
    </xdr:from>
    <xdr:to>
      <xdr:col>27</xdr:col>
      <xdr:colOff>609600</xdr:colOff>
      <xdr:row>5</xdr:row>
      <xdr:rowOff>0</xdr:rowOff>
    </xdr:to>
    <xdr:sp macro="" textlink="">
      <xdr:nvSpPr>
        <xdr:cNvPr id="40" name="Line 34">
          <a:extLst>
            <a:ext uri="{FF2B5EF4-FFF2-40B4-BE49-F238E27FC236}">
              <a16:creationId xmlns:a16="http://schemas.microsoft.com/office/drawing/2014/main" id="{00000000-0008-0000-0400-000028000000}"/>
            </a:ext>
          </a:extLst>
        </xdr:cNvPr>
        <xdr:cNvSpPr>
          <a:spLocks noChangeShapeType="1"/>
        </xdr:cNvSpPr>
      </xdr:nvSpPr>
      <xdr:spPr bwMode="auto">
        <a:xfrm>
          <a:off x="14735175" y="155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3</xdr:row>
      <xdr:rowOff>0</xdr:rowOff>
    </xdr:from>
    <xdr:to>
      <xdr:col>27</xdr:col>
      <xdr:colOff>609600</xdr:colOff>
      <xdr:row>3</xdr:row>
      <xdr:rowOff>0</xdr:rowOff>
    </xdr:to>
    <xdr:sp macro="" textlink="">
      <xdr:nvSpPr>
        <xdr:cNvPr id="41" name="Line 31">
          <a:extLst>
            <a:ext uri="{FF2B5EF4-FFF2-40B4-BE49-F238E27FC236}">
              <a16:creationId xmlns:a16="http://schemas.microsoft.com/office/drawing/2014/main" id="{00000000-0008-0000-0400-000029000000}"/>
            </a:ext>
          </a:extLst>
        </xdr:cNvPr>
        <xdr:cNvSpPr>
          <a:spLocks noChangeShapeType="1"/>
        </xdr:cNvSpPr>
      </xdr:nvSpPr>
      <xdr:spPr bwMode="auto">
        <a:xfrm>
          <a:off x="14735175" y="104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3</xdr:row>
      <xdr:rowOff>0</xdr:rowOff>
    </xdr:from>
    <xdr:to>
      <xdr:col>27</xdr:col>
      <xdr:colOff>609600</xdr:colOff>
      <xdr:row>3</xdr:row>
      <xdr:rowOff>0</xdr:rowOff>
    </xdr:to>
    <xdr:sp macro="" textlink="">
      <xdr:nvSpPr>
        <xdr:cNvPr id="42" name="Line 34">
          <a:extLst>
            <a:ext uri="{FF2B5EF4-FFF2-40B4-BE49-F238E27FC236}">
              <a16:creationId xmlns:a16="http://schemas.microsoft.com/office/drawing/2014/main" id="{00000000-0008-0000-0400-00002A000000}"/>
            </a:ext>
          </a:extLst>
        </xdr:cNvPr>
        <xdr:cNvSpPr>
          <a:spLocks noChangeShapeType="1"/>
        </xdr:cNvSpPr>
      </xdr:nvSpPr>
      <xdr:spPr bwMode="auto">
        <a:xfrm>
          <a:off x="14735175" y="104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43" name="Line 31">
          <a:extLst>
            <a:ext uri="{FF2B5EF4-FFF2-40B4-BE49-F238E27FC236}">
              <a16:creationId xmlns:a16="http://schemas.microsoft.com/office/drawing/2014/main" id="{00000000-0008-0000-0400-00002B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1952625</xdr:colOff>
      <xdr:row>4</xdr:row>
      <xdr:rowOff>0</xdr:rowOff>
    </xdr:from>
    <xdr:to>
      <xdr:col>27</xdr:col>
      <xdr:colOff>609600</xdr:colOff>
      <xdr:row>4</xdr:row>
      <xdr:rowOff>0</xdr:rowOff>
    </xdr:to>
    <xdr:sp macro="" textlink="">
      <xdr:nvSpPr>
        <xdr:cNvPr id="44" name="Line 34">
          <a:extLst>
            <a:ext uri="{FF2B5EF4-FFF2-40B4-BE49-F238E27FC236}">
              <a16:creationId xmlns:a16="http://schemas.microsoft.com/office/drawing/2014/main" id="{00000000-0008-0000-0400-00002C000000}"/>
            </a:ext>
          </a:extLst>
        </xdr:cNvPr>
        <xdr:cNvSpPr>
          <a:spLocks noChangeShapeType="1"/>
        </xdr:cNvSpPr>
      </xdr:nvSpPr>
      <xdr:spPr bwMode="auto">
        <a:xfrm>
          <a:off x="14735175" y="1238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13</xdr:col>
          <xdr:colOff>946150</xdr:colOff>
          <xdr:row>157</xdr:row>
          <xdr:rowOff>107950</xdr:rowOff>
        </xdr:from>
        <xdr:to>
          <xdr:col>13</xdr:col>
          <xdr:colOff>2971800</xdr:colOff>
          <xdr:row>159</xdr:row>
          <xdr:rowOff>69850</xdr:rowOff>
        </xdr:to>
        <xdr:sp macro="" textlink="">
          <xdr:nvSpPr>
            <xdr:cNvPr id="82958" name="Button 14" hidden="1">
              <a:extLst>
                <a:ext uri="{63B3BB69-23CF-44E3-9099-C40C66FF867C}">
                  <a14:compatExt spid="_x0000_s82958"/>
                </a:ext>
                <a:ext uri="{FF2B5EF4-FFF2-40B4-BE49-F238E27FC236}">
                  <a16:creationId xmlns:a16="http://schemas.microsoft.com/office/drawing/2014/main" id="{00000000-0008-0000-0400-00000E440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IN" sz="1400" b="1" i="0" u="none" strike="noStrike" baseline="0">
                  <a:solidFill>
                    <a:srgbClr val="000000"/>
                  </a:solidFill>
                  <a:latin typeface="Arial"/>
                  <a:cs typeface="Arial"/>
                </a:rPr>
                <a:t>Generate </a:t>
              </a:r>
            </a:p>
            <a:p>
              <a:pPr algn="ctr" rtl="0">
                <a:defRPr sz="1000"/>
              </a:pPr>
              <a:r>
                <a:rPr lang="en-IN" sz="1400" b="1" i="0" u="none" strike="noStrike" baseline="0">
                  <a:solidFill>
                    <a:srgbClr val="000000"/>
                  </a:solidFill>
                  <a:latin typeface="Arial"/>
                  <a:cs typeface="Arial"/>
                </a:rPr>
                <a:t>Approval in Principle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ilpwebserver\polsandprocs\Retail\Printable%20Stationary%20Forms\Forms\Salary%20Certificate.pdf" TargetMode="External"/><Relationship Id="rId1" Type="http://schemas.openxmlformats.org/officeDocument/2006/relationships/hyperlink" Target="http://spbank/department/PTSB/teams/Mortgage_Hub/Lists/AIP%20Return/NewForm.aspx?Source=http%3A%2F%2Fspbank%2Fdepartment%2FPTSB%2Fteams%2FMortgage%5FHub%2FLists%2FAIP%2520Return%2Foverview%2Easpx"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ile:///\\ilpwebserver\polsandprocs\Retail\Printable%20Stationary%20Forms\Forms\Salary%20Certificate.pdf" TargetMode="External"/><Relationship Id="rId1" Type="http://schemas.openxmlformats.org/officeDocument/2006/relationships/hyperlink" Target="http://spbank/department/PTSB/teams/Mortgage_Hub/Lists/AIP%20Return/NewForm.aspx?Source=http%3A%2F%2Fspbank%2Fdepartment%2FPTSB%2Fteams%2FMortgage%5FHub%2FLists%2FAIP%2520Return%2Foverview%2E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ile:///\\ilpwebserver\polsandprocs\Retail\Printable%20Stationary%20Forms\Forms\Salary%20Certificate.pdf" TargetMode="External"/><Relationship Id="rId1" Type="http://schemas.openxmlformats.org/officeDocument/2006/relationships/hyperlink" Target="http://spbank/department/PTSB/teams/Mortgage_Hub/Lists/AIP%20Return/NewForm.aspx?Source=http%3A%2F%2Fspbank%2Fdepartment%2FPTSB%2Fteams%2FMortgage%5FHub%2FLists%2FAIP%2520Return%2Foverview%2Easp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5"/>
  <sheetViews>
    <sheetView topLeftCell="A10" workbookViewId="0">
      <selection activeCell="C26" sqref="C26"/>
    </sheetView>
  </sheetViews>
  <sheetFormatPr defaultColWidth="9.1796875" defaultRowHeight="14.5" x14ac:dyDescent="0.35"/>
  <cols>
    <col min="1" max="1" width="27" style="621" customWidth="1"/>
    <col min="2" max="2" width="24" style="621" bestFit="1" customWidth="1"/>
    <col min="3" max="3" width="24" style="621" customWidth="1"/>
    <col min="4" max="4" width="20.54296875" style="621" bestFit="1" customWidth="1"/>
    <col min="5" max="5" width="19.7265625" style="621" bestFit="1" customWidth="1"/>
    <col min="6" max="6" width="34.453125" style="621" customWidth="1"/>
    <col min="7" max="7" width="9.1796875" style="621"/>
    <col min="8" max="8" width="20.54296875" style="621" bestFit="1" customWidth="1"/>
    <col min="9" max="16384" width="9.1796875" style="621"/>
  </cols>
  <sheetData>
    <row r="1" spans="1:10" x14ac:dyDescent="0.35">
      <c r="A1" s="667" t="s">
        <v>476</v>
      </c>
      <c r="B1" s="668" t="s">
        <v>477</v>
      </c>
      <c r="D1" s="621" t="s">
        <v>333</v>
      </c>
      <c r="E1" s="621" t="s">
        <v>378</v>
      </c>
      <c r="F1" s="621" t="s">
        <v>478</v>
      </c>
      <c r="G1" s="621" t="s">
        <v>101</v>
      </c>
      <c r="H1" s="669" t="s">
        <v>479</v>
      </c>
      <c r="J1" s="860" t="s">
        <v>615</v>
      </c>
    </row>
    <row r="2" spans="1:10" x14ac:dyDescent="0.35">
      <c r="A2" s="670" t="b">
        <f>IF('BTL Template'!C18="Variable",B23,IF('BTL Template'!C18="3 Year Fixed",B24,IF('BTL Template'!C18="5 Year Fixed",B25)))</f>
        <v>0</v>
      </c>
      <c r="B2" s="784">
        <f>B23+2%</f>
        <v>7.0499999999999993E-2</v>
      </c>
      <c r="C2" s="671"/>
      <c r="D2" s="621" t="s">
        <v>257</v>
      </c>
      <c r="E2" s="621" t="s">
        <v>379</v>
      </c>
      <c r="F2" s="621" t="s">
        <v>363</v>
      </c>
      <c r="G2" s="621" t="s">
        <v>100</v>
      </c>
      <c r="H2" s="669" t="b">
        <f>IF(C15="Manual Input",IF(D16&lt;3%,3%,D16))</f>
        <v>0</v>
      </c>
      <c r="J2" s="860" t="s">
        <v>616</v>
      </c>
    </row>
    <row r="3" spans="1:10" x14ac:dyDescent="0.35">
      <c r="B3" s="642"/>
      <c r="D3" s="621" t="s">
        <v>480</v>
      </c>
      <c r="E3" s="621" t="s">
        <v>481</v>
      </c>
      <c r="F3" s="621" t="s">
        <v>482</v>
      </c>
      <c r="J3" s="860" t="s">
        <v>617</v>
      </c>
    </row>
    <row r="4" spans="1:10" x14ac:dyDescent="0.35">
      <c r="A4" s="620"/>
      <c r="B4" s="777"/>
      <c r="D4" s="621" t="s">
        <v>483</v>
      </c>
      <c r="E4" s="621" t="s">
        <v>484</v>
      </c>
    </row>
    <row r="5" spans="1:10" x14ac:dyDescent="0.35">
      <c r="A5" s="778"/>
      <c r="B5" s="779"/>
    </row>
    <row r="6" spans="1:10" x14ac:dyDescent="0.35">
      <c r="A6" s="620"/>
      <c r="B6" s="777"/>
      <c r="E6" s="773" t="s">
        <v>500</v>
      </c>
    </row>
    <row r="7" spans="1:10" x14ac:dyDescent="0.35">
      <c r="A7" s="620"/>
      <c r="B7" s="777"/>
      <c r="E7" s="774" t="s">
        <v>502</v>
      </c>
    </row>
    <row r="8" spans="1:10" x14ac:dyDescent="0.35">
      <c r="A8" s="778"/>
      <c r="B8" s="779"/>
      <c r="E8" s="775" t="s">
        <v>504</v>
      </c>
    </row>
    <row r="9" spans="1:10" x14ac:dyDescent="0.35">
      <c r="A9" s="620"/>
      <c r="B9" s="777"/>
    </row>
    <row r="10" spans="1:10" x14ac:dyDescent="0.35">
      <c r="A10" s="620"/>
      <c r="B10" s="777"/>
    </row>
    <row r="11" spans="1:10" x14ac:dyDescent="0.35">
      <c r="A11" s="779"/>
      <c r="B11" s="780"/>
    </row>
    <row r="12" spans="1:10" x14ac:dyDescent="0.35">
      <c r="A12" s="620"/>
      <c r="B12" s="777"/>
    </row>
    <row r="13" spans="1:10" x14ac:dyDescent="0.35">
      <c r="A13" s="620"/>
      <c r="B13" s="777"/>
    </row>
    <row r="14" spans="1:10" x14ac:dyDescent="0.35">
      <c r="A14" s="778"/>
      <c r="B14" s="779"/>
    </row>
    <row r="15" spans="1:10" x14ac:dyDescent="0.35">
      <c r="B15" s="642"/>
    </row>
    <row r="16" spans="1:10" x14ac:dyDescent="0.35">
      <c r="B16" s="668" t="s">
        <v>485</v>
      </c>
    </row>
    <row r="17" spans="1:5" x14ac:dyDescent="0.35">
      <c r="B17" s="672">
        <v>0.03</v>
      </c>
    </row>
    <row r="19" spans="1:5" x14ac:dyDescent="0.35">
      <c r="A19" s="647">
        <f>'BTL Template'!C14</f>
        <v>0</v>
      </c>
      <c r="B19" s="647">
        <f>'BTL Template'!G14</f>
        <v>0</v>
      </c>
      <c r="C19" s="647">
        <f>'BTL Template'!J14</f>
        <v>0</v>
      </c>
      <c r="D19" s="647">
        <f>'BTL Template'!M14</f>
        <v>0</v>
      </c>
      <c r="E19" s="647">
        <f>'BTL Template'!P14</f>
        <v>0</v>
      </c>
    </row>
    <row r="20" spans="1:5" x14ac:dyDescent="0.35">
      <c r="A20" s="647">
        <f>IF(A19&gt;=1000001,1800+SUM(A19-1000000)*0.25%,IF(A19&gt;=950001,1755,IF(A19&gt;=900001,1665,IF(A19&gt;=850001,1575,IF(A19&gt;=800001,1485,IF(A19&gt;=750001,1395,IF(A19&gt;=700001,1305,IF(A19&gt;=650001,1215,IF(A19&gt;=600001,1125,IF(A19&gt;=550001,1035,IF(A19&gt;=500001,945,IF(A19&gt;=450001,855,IF(A19&gt;=400001,765,IF(A19&gt;=350001,675,IF(A19&gt;=300001,585,IF(A19&gt;=250001,495,IF(A19&gt;=200001,405,IF(A19&gt;=150001,315,IF(A19&gt;=100001,225,IF(A19&gt;0,90,0))))))))))))))))))))</f>
        <v>0</v>
      </c>
      <c r="B20" s="647">
        <f>IF(B19&gt;=1000001,1800+SUM(B19-1000000)*0.25%,IF(B19&gt;=950001,1755,IF(B19&gt;=900001,1665,IF(B19&gt;=850001,1575,IF(B19&gt;=800001,1485,IF(B19&gt;=750001,1395,IF(B19&gt;=700001,1305,IF(B19&gt;=650001,1215,IF(B19&gt;=600001,1125,IF(B19&gt;=550001,1035,IF(B19&gt;=500001,945,IF(B19&gt;=450001,855,IF(B19&gt;=400001,765,IF(B19&gt;=350001,675,IF(B19&gt;=300001,585,IF(B19&gt;=250001,495,IF(B19&gt;=200001,405,IF(B19&gt;=150001,315,IF(B19&gt;=100001,225,IF(B19&gt;0,90,0))))))))))))))))))))</f>
        <v>0</v>
      </c>
      <c r="C20" s="647">
        <f>IF(C19&gt;=1000001,1800+SUM(C19-1000000)*0.25%,IF(C19&gt;=950001,1755,IF(C19&gt;=900001,1665,IF(C19&gt;=850001,1575,IF(C19&gt;=800001,1485,IF(C19&gt;=750001,1395,IF(C19&gt;=700001,1305,IF(C19&gt;=650001,1215,IF(C19&gt;=600001,1125,IF(C19&gt;=550001,1035,IF(C19&gt;=500001,945,IF(C19&gt;=450001,855,IF(C19&gt;=400001,765,IF(C19&gt;=350001,675,IF(C19&gt;=300001,585,IF(C19&gt;=250001,495,IF(C19&gt;=200001,405,IF(C19&gt;=150001,315,IF(C19&gt;=100001,225,IF(C19&gt;0,90,0))))))))))))))))))))</f>
        <v>0</v>
      </c>
      <c r="D20" s="647">
        <f>IF(D19&gt;=1000001,1800+SUM(D19-1000000)*0.25%,IF(D19&gt;=950001,1755,IF(D19&gt;=900001,1665,IF(D19&gt;=850001,1575,IF(D19&gt;=800001,1485,IF(D19&gt;=750001,1395,IF(D19&gt;=700001,1305,IF(D19&gt;=650001,1215,IF(D19&gt;=600001,1125,IF(D19&gt;=550001,1035,IF(D19&gt;=500001,945,IF(D19&gt;=450001,855,IF(D19&gt;=400001,765,IF(D19&gt;=350001,675,IF(D19&gt;=300001,585,IF(D19&gt;=250001,495,IF(D19&gt;=200001,405,IF(D19&gt;=150001,315,IF(D19&gt;=100001,225,IF(D19&gt;0,90,0))))))))))))))))))))</f>
        <v>0</v>
      </c>
      <c r="E20" s="647">
        <f>IF(E19&gt;=1000001,1800+SUM(E19-1000000)*0.25%,IF(E19&gt;=950001,1755,IF(E19&gt;=900001,1665,IF(E19&gt;=850001,1575,IF(E19&gt;=800001,1485,IF(E19&gt;=750001,1395,IF(E19&gt;=700001,1305,IF(E19&gt;=650001,1215,IF(E19&gt;=600001,1125,IF(E19&gt;=550001,1035,IF(E19&gt;=500001,945,IF(E19&gt;=450001,855,IF(E19&gt;=400001,765,IF(E19&gt;=350001,675,IF(E19&gt;=300001,585,IF(E19&gt;=250001,495,IF(E19&gt;=200001,405,IF(E19&gt;=150001,315,IF(E19&gt;=100001,225,IF(E19&gt;0,90,0))))))))))))))))))))</f>
        <v>0</v>
      </c>
    </row>
    <row r="22" spans="1:5" x14ac:dyDescent="0.35">
      <c r="A22" s="906" t="s">
        <v>558</v>
      </c>
      <c r="B22" s="907"/>
    </row>
    <row r="23" spans="1:5" x14ac:dyDescent="0.35">
      <c r="A23" s="781" t="s">
        <v>556</v>
      </c>
      <c r="B23" s="782">
        <f>IF('BTL Template'!C24&gt;60%,5.05%,IF('BTL Template'!C24&gt;50%,4.95%,4.8%))</f>
        <v>5.0499999999999996E-2</v>
      </c>
    </row>
    <row r="24" spans="1:5" x14ac:dyDescent="0.35">
      <c r="A24" s="781" t="s">
        <v>502</v>
      </c>
      <c r="B24" s="783">
        <v>4.9500000000000002E-2</v>
      </c>
    </row>
    <row r="25" spans="1:5" x14ac:dyDescent="0.35">
      <c r="A25" s="781" t="s">
        <v>557</v>
      </c>
      <c r="B25" s="783">
        <v>5.1999999999999998E-2</v>
      </c>
    </row>
  </sheetData>
  <sheetProtection password="844E" sheet="1" objects="1" scenarios="1"/>
  <mergeCells count="1">
    <mergeCell ref="A22:B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J218"/>
  <sheetViews>
    <sheetView showGridLines="0" topLeftCell="A15" zoomScale="130" zoomScaleNormal="130" zoomScaleSheetLayoutView="85" workbookViewId="0">
      <selection activeCell="A219" sqref="A219:XFD1048576"/>
    </sheetView>
  </sheetViews>
  <sheetFormatPr defaultColWidth="0" defaultRowHeight="12.5" zeroHeight="1" x14ac:dyDescent="0.25"/>
  <cols>
    <col min="1" max="1" width="2.81640625" style="7" customWidth="1"/>
    <col min="2" max="2" width="54.1796875" style="49" customWidth="1"/>
    <col min="3" max="3" width="13.54296875" style="7" customWidth="1"/>
    <col min="4" max="4" width="13" style="7" customWidth="1"/>
    <col min="5" max="5" width="39.7265625" style="7" customWidth="1"/>
    <col min="6" max="9" width="14.54296875" style="7" hidden="1" customWidth="1"/>
    <col min="10" max="10" width="37.54296875" style="7" hidden="1" customWidth="1"/>
    <col min="11" max="16384" width="9.1796875" style="7" hidden="1"/>
  </cols>
  <sheetData>
    <row r="1" spans="2:9" ht="12.75" customHeight="1" x14ac:dyDescent="0.3">
      <c r="B1" s="26"/>
      <c r="H1" s="50" t="s">
        <v>116</v>
      </c>
      <c r="I1" s="51" t="s">
        <v>27</v>
      </c>
    </row>
    <row r="2" spans="2:9" ht="72" x14ac:dyDescent="0.4">
      <c r="B2" s="65" t="s">
        <v>205</v>
      </c>
      <c r="H2" s="52" t="s">
        <v>109</v>
      </c>
      <c r="I2" s="53" t="e">
        <f>IF(#REF!="Yes",1,0)</f>
        <v>#REF!</v>
      </c>
    </row>
    <row r="3" spans="2:9" ht="20" x14ac:dyDescent="0.4">
      <c r="B3" s="27" t="s">
        <v>154</v>
      </c>
      <c r="H3" s="52"/>
      <c r="I3" s="53"/>
    </row>
    <row r="4" spans="2:9" ht="20" x14ac:dyDescent="0.4">
      <c r="B4" s="59" t="s">
        <v>202</v>
      </c>
      <c r="H4" s="52"/>
      <c r="I4" s="53"/>
    </row>
    <row r="5" spans="2:9" ht="13" x14ac:dyDescent="0.25">
      <c r="B5" s="28"/>
      <c r="H5" s="54" t="s">
        <v>117</v>
      </c>
      <c r="I5" s="52"/>
    </row>
    <row r="6" spans="2:9" ht="14.25" customHeight="1" x14ac:dyDescent="0.25">
      <c r="B6" s="28"/>
      <c r="H6" s="54" t="s">
        <v>118</v>
      </c>
      <c r="I6" s="52"/>
    </row>
    <row r="7" spans="2:9" ht="14.25" customHeight="1" x14ac:dyDescent="0.25">
      <c r="B7" s="28"/>
      <c r="H7" s="54"/>
      <c r="I7" s="52"/>
    </row>
    <row r="8" spans="2:9" ht="28.5" customHeight="1" x14ac:dyDescent="0.25">
      <c r="B8" s="28"/>
      <c r="H8" s="54"/>
      <c r="I8" s="52"/>
    </row>
    <row r="9" spans="2:9" ht="15.5" x14ac:dyDescent="0.25">
      <c r="B9" s="172" t="e">
        <f>IF($I$12=2,#REF!,"")</f>
        <v>#REF!</v>
      </c>
      <c r="H9" s="52" t="s">
        <v>113</v>
      </c>
      <c r="I9" s="53" t="e">
        <f>IF(#REF!="YES",1,0)</f>
        <v>#REF!</v>
      </c>
    </row>
    <row r="10" spans="2:9" ht="15.5" x14ac:dyDescent="0.25">
      <c r="B10" s="172" t="e">
        <f>IF(H16=0," ",IF($I$12=2,#REF!,""))</f>
        <v>#REF!</v>
      </c>
      <c r="H10" s="55" t="s">
        <v>142</v>
      </c>
      <c r="I10" s="56">
        <f>IF(H14="Blank",0,1)</f>
        <v>1</v>
      </c>
    </row>
    <row r="11" spans="2:9" ht="15.75" customHeight="1" x14ac:dyDescent="0.25">
      <c r="B11" s="172" t="e">
        <f>IF($I$12=2,#REF!,"")</f>
        <v>#REF!</v>
      </c>
      <c r="H11" s="52"/>
      <c r="I11" s="53"/>
    </row>
    <row r="12" spans="2:9" ht="15.75" customHeight="1" x14ac:dyDescent="0.3">
      <c r="B12" s="172" t="e">
        <f>IF($I$12=2,#REF!,"")</f>
        <v>#REF!</v>
      </c>
      <c r="H12" s="50" t="s">
        <v>119</v>
      </c>
      <c r="I12" s="51" t="e">
        <f>SUM(I9:I10)</f>
        <v>#REF!</v>
      </c>
    </row>
    <row r="13" spans="2:9" ht="16" thickBot="1" x14ac:dyDescent="0.3">
      <c r="B13" s="172" t="e">
        <f>IF($I$12=2,#REF!,"")</f>
        <v>#REF!</v>
      </c>
      <c r="H13" s="52"/>
      <c r="I13" s="52"/>
    </row>
    <row r="14" spans="2:9" ht="16" thickBot="1" x14ac:dyDescent="0.35">
      <c r="B14" s="172" t="e">
        <f>IF($I$12=2,#REF!,"")</f>
        <v>#REF!</v>
      </c>
      <c r="E14" s="67" t="e">
        <f ca="1">IF(I12=2,TODAY(),0)</f>
        <v>#REF!</v>
      </c>
      <c r="H14" s="57" t="b">
        <f>IF(ISBLANK(#REF!)=TRUE,"BLANK",IF(ISTEXT(#REF!)=TRUE,"TEXT"))</f>
        <v>0</v>
      </c>
      <c r="I14" s="52"/>
    </row>
    <row r="15" spans="2:9" ht="4.5" customHeight="1" x14ac:dyDescent="0.25">
      <c r="B15" s="29"/>
      <c r="H15" s="52"/>
      <c r="I15" s="52"/>
    </row>
    <row r="16" spans="2:9" ht="14.25" customHeight="1" x14ac:dyDescent="0.25">
      <c r="B16" s="7"/>
      <c r="H16" s="7" t="e">
        <f>#REF!</f>
        <v>#REF!</v>
      </c>
    </row>
    <row r="17" spans="1:9" ht="4.5" customHeight="1" x14ac:dyDescent="0.25">
      <c r="B17" s="30"/>
    </row>
    <row r="18" spans="1:9" ht="4.5" customHeight="1" x14ac:dyDescent="0.25">
      <c r="B18" s="30"/>
    </row>
    <row r="19" spans="1:9" ht="12.75" hidden="1" customHeight="1" x14ac:dyDescent="0.25">
      <c r="B19" s="31"/>
    </row>
    <row r="20" spans="1:9" ht="15.5" x14ac:dyDescent="0.25">
      <c r="B20" s="32" t="s">
        <v>287</v>
      </c>
    </row>
    <row r="21" spans="1:9" ht="5.25" customHeight="1" x14ac:dyDescent="0.25">
      <c r="B21" s="33"/>
      <c r="C21" s="34"/>
      <c r="D21" s="34"/>
      <c r="E21" s="34"/>
      <c r="F21" s="34"/>
      <c r="G21" s="34"/>
      <c r="H21" s="34"/>
      <c r="I21" s="34"/>
    </row>
    <row r="22" spans="1:9" ht="12.75" customHeight="1" x14ac:dyDescent="0.25">
      <c r="A22" s="164"/>
      <c r="B22" s="166" t="s">
        <v>206</v>
      </c>
      <c r="C22" s="34"/>
      <c r="D22" s="34"/>
      <c r="E22" s="34"/>
      <c r="F22" s="34"/>
      <c r="G22" s="34"/>
      <c r="H22" s="34"/>
      <c r="I22" s="34"/>
    </row>
    <row r="23" spans="1:9" ht="6" customHeight="1" x14ac:dyDescent="0.25">
      <c r="A23" s="164"/>
      <c r="B23" s="63"/>
    </row>
    <row r="24" spans="1:9" ht="12.75" customHeight="1" x14ac:dyDescent="0.25">
      <c r="A24" s="164"/>
      <c r="B24" s="167" t="s">
        <v>329</v>
      </c>
    </row>
    <row r="25" spans="1:9" ht="12.75" customHeight="1" x14ac:dyDescent="0.25">
      <c r="A25" s="164"/>
      <c r="B25" s="63" t="s">
        <v>328</v>
      </c>
    </row>
    <row r="26" spans="1:9" ht="12.75" customHeight="1" x14ac:dyDescent="0.25">
      <c r="A26" s="164"/>
      <c r="B26" s="63"/>
    </row>
    <row r="27" spans="1:9" ht="13.5" customHeight="1" x14ac:dyDescent="0.25">
      <c r="A27" s="164"/>
      <c r="B27" s="168" t="s">
        <v>260</v>
      </c>
      <c r="C27" s="150"/>
      <c r="D27" s="150"/>
    </row>
    <row r="28" spans="1:9" ht="13.5" customHeight="1" x14ac:dyDescent="0.25">
      <c r="A28" s="164"/>
      <c r="B28" s="169" t="e">
        <f>IF(#REF!&gt;0,"Purchase Price ")</f>
        <v>#REF!</v>
      </c>
      <c r="C28" s="149" t="e">
        <f>IF(#REF!&gt;0,""&amp;TEXT(#REF!,"€0,000"),"")</f>
        <v>#REF!</v>
      </c>
      <c r="D28" s="149"/>
    </row>
    <row r="29" spans="1:9" ht="13.5" customHeight="1" x14ac:dyDescent="0.25">
      <c r="A29" s="164"/>
      <c r="B29" s="169" t="e">
        <f>IF(#REF!&gt;0,"Less Deposit Required (10% minimum) ")</f>
        <v>#REF!</v>
      </c>
      <c r="C29" s="149" t="e">
        <f>IF(#REF!&gt;0," "&amp;TEXT(#REF!,"€0,000"),"")</f>
        <v>#REF!</v>
      </c>
      <c r="D29" s="149"/>
    </row>
    <row r="30" spans="1:9" ht="13.5" customHeight="1" x14ac:dyDescent="0.25">
      <c r="A30" s="164"/>
      <c r="B30" s="169" t="e">
        <f>IF(#REF!&gt;0,"Mortgage on New Property  ")</f>
        <v>#REF!</v>
      </c>
      <c r="C30" s="149" t="e">
        <f>IF(#REF!&gt;0," "&amp;TEXT(#REF!,"€0,000"),"")</f>
        <v>#REF!</v>
      </c>
      <c r="D30" s="149"/>
    </row>
    <row r="31" spans="1:9" ht="13.5" customHeight="1" x14ac:dyDescent="0.25">
      <c r="A31" s="164"/>
      <c r="B31" s="169" t="e">
        <f>IF(#REF!&gt;0,"Plus Negative Equity      " )</f>
        <v>#REF!</v>
      </c>
      <c r="C31" s="149" t="e">
        <f>IF(#REF!&gt;0," "&amp;TEXT(#REF!,"€0,000"),"")</f>
        <v>#REF!</v>
      </c>
      <c r="D31" s="149"/>
    </row>
    <row r="32" spans="1:9" ht="13.5" customHeight="1" x14ac:dyDescent="0.25">
      <c r="A32" s="164"/>
      <c r="B32" s="169" t="e">
        <f>IF(#REF!&gt;0,"Total New Mortgage ")</f>
        <v>#REF!</v>
      </c>
      <c r="C32" s="149" t="e">
        <f>IF(#REF!&gt;0,""&amp;TEXT(#REF!,"€0,000"),"")</f>
        <v>#REF!</v>
      </c>
      <c r="D32" s="149"/>
    </row>
    <row r="33" spans="1:4" ht="13.5" customHeight="1" x14ac:dyDescent="0.25">
      <c r="A33" s="164"/>
      <c r="B33" s="169" t="e">
        <f>IF(#REF!&gt;0,"Loan To Value  ")</f>
        <v>#REF!</v>
      </c>
      <c r="C33" s="149" t="e">
        <f>IF(#REF!&gt;0," "&amp;TEXT(#REF!,"00%"),"")</f>
        <v>#REF!</v>
      </c>
      <c r="D33" s="149"/>
    </row>
    <row r="34" spans="1:4" ht="9" customHeight="1" x14ac:dyDescent="0.25">
      <c r="A34" s="164"/>
      <c r="B34" s="169"/>
    </row>
    <row r="35" spans="1:4" ht="13.5" customHeight="1" x14ac:dyDescent="0.25">
      <c r="A35" s="164"/>
      <c r="B35" s="170" t="s">
        <v>261</v>
      </c>
    </row>
    <row r="36" spans="1:4" ht="13.5" customHeight="1" x14ac:dyDescent="0.25">
      <c r="A36" s="164"/>
      <c r="B36" s="170" t="s">
        <v>262</v>
      </c>
    </row>
    <row r="37" spans="1:4" ht="13.5" customHeight="1" x14ac:dyDescent="0.25">
      <c r="A37" s="164"/>
      <c r="B37" s="169" t="e">
        <f>IF(#REF!&gt;0,"Mortgage Balance ")</f>
        <v>#REF!</v>
      </c>
      <c r="C37" s="149" t="e">
        <f>IF(#REF!&gt;0," "&amp;TEXT(#REF!,"€0,000"),"")</f>
        <v>#REF!</v>
      </c>
      <c r="D37" s="149"/>
    </row>
    <row r="38" spans="1:4" ht="13.5" customHeight="1" x14ac:dyDescent="0.25">
      <c r="A38" s="164"/>
      <c r="B38" s="169" t="e">
        <f>IF(#REF!&gt;0,"Interest Rate    ")</f>
        <v>#REF!</v>
      </c>
      <c r="C38" s="149" t="e">
        <f>IF(#REF!&gt;0," "&amp;TEXT(#REF!,"0.00%")," ")</f>
        <v>#REF!</v>
      </c>
      <c r="D38" s="149"/>
    </row>
    <row r="39" spans="1:4" ht="13.5" customHeight="1" x14ac:dyDescent="0.25">
      <c r="A39" s="164"/>
      <c r="B39" s="169" t="e">
        <f>IF(#REF!&gt;0,"Term (Years )   ")</f>
        <v>#REF!</v>
      </c>
      <c r="C39" s="149" t="e">
        <f>IF(#REF!&gt;0,"   "&amp;TEXT(#REF!,"00"),"")</f>
        <v>#REF!</v>
      </c>
      <c r="D39" s="149"/>
    </row>
    <row r="40" spans="1:4" ht="13.5" customHeight="1" x14ac:dyDescent="0.25">
      <c r="A40" s="164"/>
      <c r="B40" s="169" t="e">
        <f>IF(#REF!&gt;0,"Monthly Repayment Amount   ")</f>
        <v>#REF!</v>
      </c>
      <c r="C40" s="149" t="e">
        <f>IF(#REF!&gt;0,"  "&amp;TEXT(#REF!,"€000"),"")</f>
        <v>#REF!</v>
      </c>
      <c r="D40" s="149"/>
    </row>
    <row r="41" spans="1:4" ht="9" customHeight="1" x14ac:dyDescent="0.25">
      <c r="A41" s="164"/>
      <c r="B41" s="164"/>
      <c r="D41" s="149"/>
    </row>
    <row r="42" spans="1:4" ht="13.5" customHeight="1" x14ac:dyDescent="0.25">
      <c r="A42" s="164"/>
      <c r="B42" s="170" t="s">
        <v>263</v>
      </c>
      <c r="D42" s="151"/>
    </row>
    <row r="43" spans="1:4" ht="13.5" customHeight="1" x14ac:dyDescent="0.25">
      <c r="A43" s="164"/>
      <c r="B43" s="169" t="e">
        <f>IF(#REF!&gt;0,"Mortgage Balance    ")</f>
        <v>#REF!</v>
      </c>
      <c r="C43" s="149" t="e">
        <f>IF(#REF!&gt;0,""&amp;TEXT(#REF!,"€0,000"),"")</f>
        <v>#REF!</v>
      </c>
    </row>
    <row r="44" spans="1:4" ht="13.5" customHeight="1" x14ac:dyDescent="0.25">
      <c r="A44" s="164"/>
      <c r="B44" s="169" t="e">
        <f>IF(#REF!&gt;0,"Interest Rate  ")</f>
        <v>#REF!</v>
      </c>
      <c r="C44" s="149" t="e">
        <f>IF(#REF!&gt;0,"   "&amp;TEXT(#REF!,"0.00%"),"")</f>
        <v>#REF!</v>
      </c>
      <c r="D44" s="149"/>
    </row>
    <row r="45" spans="1:4" ht="13.5" customHeight="1" x14ac:dyDescent="0.25">
      <c r="A45" s="164"/>
      <c r="B45" s="169" t="e">
        <f>IF(#REF!&gt;0,"Term (Years) ")</f>
        <v>#REF!</v>
      </c>
      <c r="C45" s="149" t="e">
        <f>IF(#REF!&gt;0,"  "&amp;TEXT(#REF!,"00"),"")</f>
        <v>#REF!</v>
      </c>
      <c r="D45" s="149"/>
    </row>
    <row r="46" spans="1:4" ht="13.5" customHeight="1" x14ac:dyDescent="0.25">
      <c r="A46" s="164"/>
      <c r="B46" s="169" t="e">
        <f>IF(#REF!&gt;0,"Monthly Repayment Amount  ")</f>
        <v>#REF!</v>
      </c>
      <c r="C46" s="149" t="e">
        <f>IF(#REF!&gt;0,"  "&amp;TEXT(#REF!,"€000"),"")</f>
        <v>#REF!</v>
      </c>
      <c r="D46" s="149"/>
    </row>
    <row r="47" spans="1:4" ht="13.5" customHeight="1" x14ac:dyDescent="0.25">
      <c r="A47" s="164"/>
      <c r="B47" s="169"/>
      <c r="C47" s="149"/>
      <c r="D47" s="149"/>
    </row>
    <row r="48" spans="1:4" ht="13.5" customHeight="1" thickBot="1" x14ac:dyDescent="0.3">
      <c r="A48" s="164"/>
      <c r="B48" s="169" t="e">
        <f>IF(#REF!&gt;0,"Total Repayment Amount (Part A + Part B)")</f>
        <v>#REF!</v>
      </c>
      <c r="C48" s="152" t="e">
        <f>IF(#REF!&gt;0,""&amp;TEXT(#REF!,"€0,000"),"")</f>
        <v>#REF!</v>
      </c>
      <c r="D48" s="149"/>
    </row>
    <row r="49" spans="1:4" ht="13.5" customHeight="1" thickTop="1" x14ac:dyDescent="0.25">
      <c r="A49" s="164"/>
      <c r="B49" s="169" t="s">
        <v>290</v>
      </c>
      <c r="C49" s="148" t="s">
        <v>264</v>
      </c>
      <c r="D49" s="157"/>
    </row>
    <row r="50" spans="1:4" ht="23.25" customHeight="1" x14ac:dyDescent="0.25">
      <c r="A50" s="164"/>
      <c r="B50" s="63" t="s">
        <v>155</v>
      </c>
    </row>
    <row r="51" spans="1:4" ht="15" customHeight="1" x14ac:dyDescent="0.25">
      <c r="A51" s="164"/>
      <c r="B51" s="63" t="s">
        <v>156</v>
      </c>
    </row>
    <row r="52" spans="1:4" ht="9" customHeight="1" x14ac:dyDescent="0.25">
      <c r="A52" s="164"/>
      <c r="B52" s="63"/>
    </row>
    <row r="53" spans="1:4" ht="15" customHeight="1" x14ac:dyDescent="0.25">
      <c r="A53" s="164"/>
      <c r="B53" s="43" t="s">
        <v>288</v>
      </c>
    </row>
    <row r="54" spans="1:4" ht="15" customHeight="1" x14ac:dyDescent="0.25">
      <c r="A54" s="164"/>
      <c r="B54" s="171" t="s">
        <v>320</v>
      </c>
    </row>
    <row r="55" spans="1:4" ht="15" customHeight="1" x14ac:dyDescent="0.25">
      <c r="A55" s="164"/>
      <c r="B55" s="63" t="s">
        <v>321</v>
      </c>
    </row>
    <row r="56" spans="1:4" ht="12" customHeight="1" x14ac:dyDescent="0.25">
      <c r="A56" s="164"/>
      <c r="B56" s="63" t="s">
        <v>322</v>
      </c>
    </row>
    <row r="57" spans="1:4" ht="15" customHeight="1" x14ac:dyDescent="0.25">
      <c r="A57" s="164"/>
      <c r="B57" s="63" t="s">
        <v>318</v>
      </c>
    </row>
    <row r="58" spans="1:4" ht="15" customHeight="1" x14ac:dyDescent="0.25">
      <c r="A58" s="164"/>
      <c r="B58" s="63" t="s">
        <v>319</v>
      </c>
    </row>
    <row r="59" spans="1:4" ht="12.75" customHeight="1" x14ac:dyDescent="0.25">
      <c r="A59" s="164"/>
      <c r="B59" s="63" t="s">
        <v>163</v>
      </c>
    </row>
    <row r="60" spans="1:4" ht="12.75" customHeight="1" x14ac:dyDescent="0.25">
      <c r="A60" s="164"/>
      <c r="B60" s="63" t="s">
        <v>323</v>
      </c>
    </row>
    <row r="61" spans="1:4" ht="12" customHeight="1" x14ac:dyDescent="0.25">
      <c r="A61" s="164"/>
      <c r="B61" s="63" t="s">
        <v>324</v>
      </c>
    </row>
    <row r="62" spans="1:4" ht="12.75" customHeight="1" x14ac:dyDescent="0.25">
      <c r="A62" s="164"/>
      <c r="B62" s="63" t="s">
        <v>325</v>
      </c>
    </row>
    <row r="63" spans="1:4" ht="17.25" customHeight="1" x14ac:dyDescent="0.25">
      <c r="A63" s="164"/>
      <c r="B63" s="63"/>
    </row>
    <row r="64" spans="1:4" ht="12.75" customHeight="1" x14ac:dyDescent="0.25">
      <c r="A64" s="164"/>
      <c r="B64" s="43" t="s">
        <v>168</v>
      </c>
    </row>
    <row r="65" spans="1:2" ht="12.75" customHeight="1" x14ac:dyDescent="0.25">
      <c r="A65" s="164"/>
      <c r="B65" s="63" t="s">
        <v>169</v>
      </c>
    </row>
    <row r="66" spans="1:2" ht="12.75" customHeight="1" x14ac:dyDescent="0.25">
      <c r="A66" s="164"/>
      <c r="B66" s="63" t="s">
        <v>326</v>
      </c>
    </row>
    <row r="67" spans="1:2" ht="12.75" customHeight="1" x14ac:dyDescent="0.25">
      <c r="A67" s="164"/>
      <c r="B67" s="63" t="s">
        <v>289</v>
      </c>
    </row>
    <row r="68" spans="1:2" ht="12.75" customHeight="1" x14ac:dyDescent="0.25">
      <c r="A68" s="164"/>
      <c r="B68" s="63" t="s">
        <v>327</v>
      </c>
    </row>
    <row r="69" spans="1:2" ht="12.75" customHeight="1" x14ac:dyDescent="0.25">
      <c r="A69" s="164"/>
      <c r="B69" s="63" t="s">
        <v>265</v>
      </c>
    </row>
    <row r="70" spans="1:2" ht="5.25" customHeight="1" x14ac:dyDescent="0.25">
      <c r="A70" s="164"/>
      <c r="B70" s="63"/>
    </row>
    <row r="71" spans="1:2" ht="12.75" customHeight="1" x14ac:dyDescent="0.25">
      <c r="A71" s="164"/>
      <c r="B71" s="167" t="s">
        <v>237</v>
      </c>
    </row>
    <row r="72" spans="1:2" ht="12.75" customHeight="1" x14ac:dyDescent="0.25">
      <c r="A72" s="164"/>
      <c r="B72" s="63" t="s">
        <v>175</v>
      </c>
    </row>
    <row r="73" spans="1:2" x14ac:dyDescent="0.25">
      <c r="A73" s="164"/>
      <c r="B73" s="63"/>
    </row>
    <row r="74" spans="1:2" x14ac:dyDescent="0.25">
      <c r="A74" s="164"/>
      <c r="B74" s="63" t="s">
        <v>120</v>
      </c>
    </row>
    <row r="75" spans="1:2" x14ac:dyDescent="0.25">
      <c r="A75" s="164"/>
      <c r="B75" s="63"/>
    </row>
    <row r="76" spans="1:2" x14ac:dyDescent="0.25">
      <c r="A76" s="164"/>
      <c r="B76" s="63"/>
    </row>
    <row r="77" spans="1:2" x14ac:dyDescent="0.25">
      <c r="A77" s="164"/>
      <c r="B77" s="167" t="s">
        <v>121</v>
      </c>
    </row>
    <row r="78" spans="1:2" x14ac:dyDescent="0.25">
      <c r="A78" s="164"/>
      <c r="B78" s="167" t="s">
        <v>122</v>
      </c>
    </row>
    <row r="79" spans="1:2" x14ac:dyDescent="0.25">
      <c r="B79" s="63"/>
    </row>
    <row r="80" spans="1:2" ht="11.25" customHeight="1" x14ac:dyDescent="0.25">
      <c r="B80" s="35"/>
    </row>
    <row r="81" spans="2:5" ht="19.5" customHeight="1" x14ac:dyDescent="0.25">
      <c r="B81" s="39" t="s">
        <v>176</v>
      </c>
    </row>
    <row r="82" spans="2:5" ht="14.25" customHeight="1" x14ac:dyDescent="0.25">
      <c r="B82" s="40" t="s">
        <v>177</v>
      </c>
    </row>
    <row r="83" spans="2:5" ht="14.25" customHeight="1" x14ac:dyDescent="0.25">
      <c r="B83" s="41" t="s">
        <v>178</v>
      </c>
    </row>
    <row r="84" spans="2:5" ht="14.25" customHeight="1" x14ac:dyDescent="0.25">
      <c r="B84" s="42"/>
    </row>
    <row r="85" spans="2:5" ht="14.25" customHeight="1" x14ac:dyDescent="0.25">
      <c r="B85" s="43" t="s">
        <v>179</v>
      </c>
    </row>
    <row r="86" spans="2:5" ht="8.25" customHeight="1" x14ac:dyDescent="0.25">
      <c r="B86" s="42"/>
    </row>
    <row r="87" spans="2:5" ht="14.25" customHeight="1" x14ac:dyDescent="0.25">
      <c r="B87" s="154" t="s">
        <v>198</v>
      </c>
      <c r="C87" s="154"/>
    </row>
    <row r="88" spans="2:5" ht="6.75" customHeight="1" x14ac:dyDescent="0.25">
      <c r="B88" s="45"/>
      <c r="D88" s="154"/>
      <c r="E88" s="154"/>
    </row>
    <row r="89" spans="2:5" ht="14.25" customHeight="1" x14ac:dyDescent="0.25">
      <c r="B89" s="154" t="s">
        <v>180</v>
      </c>
      <c r="C89" s="154"/>
    </row>
    <row r="90" spans="2:5" ht="4.5" customHeight="1" x14ac:dyDescent="0.25">
      <c r="B90" s="45"/>
      <c r="D90" s="154"/>
      <c r="E90" s="154"/>
    </row>
    <row r="91" spans="2:5" ht="14.25" customHeight="1" x14ac:dyDescent="0.25">
      <c r="B91" s="154" t="s">
        <v>181</v>
      </c>
      <c r="C91" s="154"/>
    </row>
    <row r="92" spans="2:5" ht="4.5" customHeight="1" x14ac:dyDescent="0.25">
      <c r="B92" s="44"/>
      <c r="D92" s="154"/>
      <c r="E92" s="154"/>
    </row>
    <row r="93" spans="2:5" ht="14.25" customHeight="1" x14ac:dyDescent="0.25">
      <c r="B93" s="154" t="s">
        <v>266</v>
      </c>
      <c r="C93" s="154"/>
    </row>
    <row r="94" spans="2:5" ht="14.25" customHeight="1" x14ac:dyDescent="0.25">
      <c r="B94" s="45"/>
      <c r="D94" s="154"/>
      <c r="E94" s="154"/>
    </row>
    <row r="95" spans="2:5" ht="14.25" customHeight="1" x14ac:dyDescent="0.25">
      <c r="B95" s="43" t="s">
        <v>201</v>
      </c>
    </row>
    <row r="96" spans="2:5" ht="6" customHeight="1" x14ac:dyDescent="0.25">
      <c r="B96" s="42"/>
    </row>
    <row r="97" spans="2:5" ht="14.25" customHeight="1" x14ac:dyDescent="0.25">
      <c r="B97" s="154" t="s">
        <v>199</v>
      </c>
      <c r="C97" s="154"/>
    </row>
    <row r="98" spans="2:5" ht="4.5" customHeight="1" x14ac:dyDescent="0.25">
      <c r="B98" s="45"/>
      <c r="D98" s="154"/>
      <c r="E98" s="154"/>
    </row>
    <row r="99" spans="2:5" ht="14.25" customHeight="1" x14ac:dyDescent="0.25">
      <c r="B99" s="154" t="s">
        <v>204</v>
      </c>
      <c r="C99" s="154"/>
    </row>
    <row r="100" spans="2:5" ht="6" customHeight="1" x14ac:dyDescent="0.25">
      <c r="B100" s="44"/>
      <c r="D100" s="154"/>
      <c r="E100" s="154"/>
    </row>
    <row r="101" spans="2:5" ht="22.5" customHeight="1" x14ac:dyDescent="0.25">
      <c r="B101" s="153" t="s">
        <v>200</v>
      </c>
      <c r="C101" s="153"/>
    </row>
    <row r="102" spans="2:5" ht="7.5" customHeight="1" x14ac:dyDescent="0.25">
      <c r="B102" s="44"/>
      <c r="D102" s="153"/>
      <c r="E102" s="153"/>
    </row>
    <row r="103" spans="2:5" ht="14.25" customHeight="1" x14ac:dyDescent="0.25">
      <c r="B103" s="154" t="s">
        <v>267</v>
      </c>
      <c r="C103" s="154"/>
    </row>
    <row r="104" spans="2:5" ht="4.5" customHeight="1" x14ac:dyDescent="0.25">
      <c r="B104" s="44"/>
      <c r="D104" s="154"/>
      <c r="E104" s="154"/>
    </row>
    <row r="105" spans="2:5" ht="14.25" customHeight="1" x14ac:dyDescent="0.25">
      <c r="B105" s="43" t="s">
        <v>182</v>
      </c>
    </row>
    <row r="106" spans="2:5" ht="6.75" customHeight="1" x14ac:dyDescent="0.25">
      <c r="B106" s="40"/>
    </row>
    <row r="107" spans="2:5" ht="14.25" customHeight="1" x14ac:dyDescent="0.25">
      <c r="B107" s="43" t="s">
        <v>183</v>
      </c>
    </row>
    <row r="108" spans="2:5" ht="6.75" customHeight="1" x14ac:dyDescent="0.25">
      <c r="B108" s="46"/>
    </row>
    <row r="109" spans="2:5" ht="14.25" customHeight="1" x14ac:dyDescent="0.25">
      <c r="B109" s="43" t="s">
        <v>184</v>
      </c>
    </row>
    <row r="110" spans="2:5" ht="7.5" customHeight="1" x14ac:dyDescent="0.25">
      <c r="B110" s="40"/>
    </row>
    <row r="111" spans="2:5" ht="14.25" customHeight="1" x14ac:dyDescent="0.25">
      <c r="B111" s="154" t="s">
        <v>185</v>
      </c>
      <c r="C111" s="154"/>
    </row>
    <row r="112" spans="2:5" ht="5.25" customHeight="1" x14ac:dyDescent="0.25">
      <c r="B112" s="45"/>
      <c r="D112" s="154"/>
      <c r="E112" s="154"/>
    </row>
    <row r="113" spans="2:5" ht="14.25" customHeight="1" x14ac:dyDescent="0.25">
      <c r="B113" s="154" t="s">
        <v>186</v>
      </c>
      <c r="C113" s="154"/>
    </row>
    <row r="114" spans="2:5" ht="4.5" customHeight="1" x14ac:dyDescent="0.25">
      <c r="B114" s="45"/>
      <c r="D114" s="154"/>
      <c r="E114" s="154"/>
    </row>
    <row r="115" spans="2:5" ht="14.25" customHeight="1" x14ac:dyDescent="0.25">
      <c r="B115" s="155" t="s">
        <v>187</v>
      </c>
      <c r="C115" s="155"/>
    </row>
    <row r="116" spans="2:5" ht="7.5" customHeight="1" x14ac:dyDescent="0.25">
      <c r="B116" s="48"/>
      <c r="D116" s="155"/>
      <c r="E116" s="155"/>
    </row>
    <row r="117" spans="2:5" ht="14.25" customHeight="1" x14ac:dyDescent="0.25">
      <c r="B117" s="43" t="s">
        <v>188</v>
      </c>
    </row>
    <row r="118" spans="2:5" ht="3.75" customHeight="1" x14ac:dyDescent="0.25">
      <c r="B118" s="46"/>
    </row>
    <row r="119" spans="2:5" ht="14.25" customHeight="1" x14ac:dyDescent="0.25">
      <c r="B119" s="43" t="s">
        <v>189</v>
      </c>
    </row>
    <row r="120" spans="2:5" ht="6" customHeight="1" x14ac:dyDescent="0.25">
      <c r="B120" s="40"/>
    </row>
    <row r="121" spans="2:5" ht="14.25" customHeight="1" x14ac:dyDescent="0.25">
      <c r="B121" s="154" t="s">
        <v>190</v>
      </c>
      <c r="C121" s="154"/>
    </row>
    <row r="122" spans="2:5" ht="6" customHeight="1" x14ac:dyDescent="0.25">
      <c r="B122" s="45"/>
      <c r="D122" s="154"/>
      <c r="E122" s="154"/>
    </row>
    <row r="123" spans="2:5" ht="14.25" customHeight="1" x14ac:dyDescent="0.25">
      <c r="B123" s="154" t="s">
        <v>191</v>
      </c>
      <c r="C123" s="154"/>
    </row>
    <row r="124" spans="2:5" ht="5.25" customHeight="1" x14ac:dyDescent="0.25">
      <c r="B124" s="45"/>
      <c r="D124" s="154"/>
      <c r="E124" s="154"/>
    </row>
    <row r="125" spans="2:5" ht="14.25" customHeight="1" x14ac:dyDescent="0.25">
      <c r="B125" s="154" t="s">
        <v>192</v>
      </c>
      <c r="C125" s="154"/>
    </row>
    <row r="126" spans="2:5" ht="14.25" customHeight="1" x14ac:dyDescent="0.25">
      <c r="B126" s="154" t="s">
        <v>193</v>
      </c>
      <c r="C126" s="154"/>
      <c r="D126" s="154"/>
      <c r="E126" s="154"/>
    </row>
    <row r="127" spans="2:5" ht="3.75" customHeight="1" x14ac:dyDescent="0.25">
      <c r="B127" s="154"/>
      <c r="C127" s="154"/>
      <c r="D127" s="154"/>
      <c r="E127" s="154"/>
    </row>
    <row r="128" spans="2:5" ht="14.25" customHeight="1" x14ac:dyDescent="0.25">
      <c r="B128" s="154" t="s">
        <v>194</v>
      </c>
      <c r="C128" s="154"/>
    </row>
    <row r="129" spans="2:5" ht="14.25" customHeight="1" x14ac:dyDescent="0.25">
      <c r="B129" s="44"/>
      <c r="D129" s="154"/>
      <c r="E129" s="154"/>
    </row>
    <row r="130" spans="2:5" ht="14.25" customHeight="1" x14ac:dyDescent="0.25">
      <c r="B130" s="61" t="s">
        <v>203</v>
      </c>
    </row>
    <row r="131" spans="2:5" ht="14.25" customHeight="1" x14ac:dyDescent="0.25">
      <c r="B131" s="62" t="s">
        <v>195</v>
      </c>
    </row>
    <row r="132" spans="2:5" ht="14.25" customHeight="1" x14ac:dyDescent="0.25">
      <c r="B132" s="62"/>
    </row>
    <row r="133" spans="2:5" ht="14.25" customHeight="1" x14ac:dyDescent="0.25">
      <c r="B133" s="62" t="s">
        <v>286</v>
      </c>
    </row>
    <row r="134" spans="2:5" ht="14.25" customHeight="1" x14ac:dyDescent="0.25">
      <c r="B134" s="62"/>
    </row>
    <row r="135" spans="2:5" ht="14.25" customHeight="1" x14ac:dyDescent="0.25">
      <c r="B135" s="158"/>
    </row>
    <row r="136" spans="2:5" ht="14.25" customHeight="1" x14ac:dyDescent="0.25">
      <c r="B136" s="159" t="s">
        <v>268</v>
      </c>
    </row>
    <row r="137" spans="2:5" ht="14.25" customHeight="1" x14ac:dyDescent="0.25">
      <c r="B137" s="159" t="s">
        <v>269</v>
      </c>
    </row>
    <row r="138" spans="2:5" ht="14.25" customHeight="1" x14ac:dyDescent="0.25">
      <c r="B138" s="160" t="s">
        <v>270</v>
      </c>
      <c r="C138" s="150" t="s">
        <v>271</v>
      </c>
    </row>
    <row r="139" spans="2:5" ht="14.25" customHeight="1" x14ac:dyDescent="0.25">
      <c r="B139" s="160" t="s">
        <v>272</v>
      </c>
      <c r="C139" s="150" t="s">
        <v>273</v>
      </c>
    </row>
    <row r="140" spans="2:5" ht="14.25" customHeight="1" x14ac:dyDescent="0.25">
      <c r="B140" s="160" t="s">
        <v>274</v>
      </c>
      <c r="C140" s="150" t="s">
        <v>275</v>
      </c>
    </row>
    <row r="141" spans="2:5" ht="14.25" customHeight="1" x14ac:dyDescent="0.25">
      <c r="B141" s="160" t="s">
        <v>276</v>
      </c>
      <c r="C141" s="150" t="s">
        <v>277</v>
      </c>
    </row>
    <row r="142" spans="2:5" ht="14.25" customHeight="1" x14ac:dyDescent="0.25">
      <c r="B142" s="160" t="s">
        <v>278</v>
      </c>
      <c r="C142" s="150" t="s">
        <v>279</v>
      </c>
    </row>
    <row r="143" spans="2:5" ht="14.25" customHeight="1" x14ac:dyDescent="0.25">
      <c r="B143" s="160" t="s">
        <v>281</v>
      </c>
      <c r="C143" s="150" t="s">
        <v>280</v>
      </c>
    </row>
    <row r="144" spans="2:5" ht="14.25" customHeight="1" x14ac:dyDescent="0.25">
      <c r="B144" s="160" t="s">
        <v>282</v>
      </c>
      <c r="C144" s="150" t="s">
        <v>283</v>
      </c>
    </row>
    <row r="145" spans="2:5" ht="14.25" customHeight="1" x14ac:dyDescent="0.25">
      <c r="B145" s="160" t="s">
        <v>284</v>
      </c>
      <c r="C145" s="150" t="s">
        <v>285</v>
      </c>
    </row>
    <row r="146" spans="2:5" ht="13.5" customHeight="1" x14ac:dyDescent="0.25">
      <c r="B146" s="162"/>
      <c r="C146" s="150"/>
    </row>
    <row r="147" spans="2:5" ht="14.25" customHeight="1" x14ac:dyDescent="0.25">
      <c r="B147" s="162" t="s">
        <v>291</v>
      </c>
    </row>
    <row r="148" spans="2:5" ht="14.25" customHeight="1" x14ac:dyDescent="0.25">
      <c r="B148" s="160"/>
    </row>
    <row r="149" spans="2:5" ht="14.25" customHeight="1" x14ac:dyDescent="0.25">
      <c r="B149" s="156" t="e">
        <f>IF(#REF!="Yes","If the Property is a Self- Build Property, please provide"," ")</f>
        <v>#REF!</v>
      </c>
    </row>
    <row r="150" spans="2:5" ht="14.25" customHeight="1" x14ac:dyDescent="0.25">
      <c r="B150" s="146"/>
    </row>
    <row r="151" spans="2:5" ht="14.25" customHeight="1" x14ac:dyDescent="0.3">
      <c r="B151" s="161" t="e">
        <f>IF(#REF!="Yes",'Self Build - AIP'!A130," ")</f>
        <v>#REF!</v>
      </c>
    </row>
    <row r="152" spans="2:5" ht="14.25" customHeight="1" x14ac:dyDescent="0.25">
      <c r="B152" s="147"/>
    </row>
    <row r="153" spans="2:5" ht="14.25" customHeight="1" x14ac:dyDescent="0.3">
      <c r="B153" s="161" t="e">
        <f>IF(#REF!="Yes",'Self Build - AIP'!A132," ")</f>
        <v>#REF!</v>
      </c>
    </row>
    <row r="154" spans="2:5" ht="14.25" customHeight="1" x14ac:dyDescent="0.25">
      <c r="B154" s="147"/>
    </row>
    <row r="155" spans="2:5" ht="14.25" customHeight="1" x14ac:dyDescent="0.3">
      <c r="B155" s="161" t="e">
        <f>IF(#REF!="Yes",'Self Build - AIP'!A134," ")</f>
        <v>#REF!</v>
      </c>
    </row>
    <row r="156" spans="2:5" x14ac:dyDescent="0.25">
      <c r="B156" s="147"/>
    </row>
    <row r="157" spans="2:5" x14ac:dyDescent="0.25">
      <c r="B157" s="165"/>
      <c r="C157" s="164"/>
      <c r="D157" s="164"/>
      <c r="E157" s="164"/>
    </row>
    <row r="158" spans="2:5" x14ac:dyDescent="0.25">
      <c r="B158" s="165" t="s">
        <v>292</v>
      </c>
      <c r="C158" s="164"/>
      <c r="D158" s="164"/>
      <c r="E158" s="164"/>
    </row>
    <row r="159" spans="2:5" ht="8.25" customHeight="1" x14ac:dyDescent="0.25">
      <c r="B159" s="165"/>
      <c r="C159" s="164"/>
      <c r="D159" s="164"/>
      <c r="E159" s="164"/>
    </row>
    <row r="160" spans="2:5" ht="27" customHeight="1" x14ac:dyDescent="0.25">
      <c r="B160" s="908" t="s">
        <v>293</v>
      </c>
      <c r="C160" s="908"/>
      <c r="D160" s="908"/>
      <c r="E160" s="908"/>
    </row>
    <row r="161" spans="2:5" ht="71.25" customHeight="1" x14ac:dyDescent="0.25">
      <c r="B161" s="908" t="s">
        <v>294</v>
      </c>
      <c r="C161" s="908"/>
      <c r="D161" s="908"/>
      <c r="E161" s="908"/>
    </row>
    <row r="162" spans="2:5" ht="9" customHeight="1" x14ac:dyDescent="0.25">
      <c r="B162" s="165"/>
      <c r="C162" s="164"/>
      <c r="D162" s="164"/>
      <c r="E162" s="164"/>
    </row>
    <row r="163" spans="2:5" ht="91.5" customHeight="1" x14ac:dyDescent="0.25">
      <c r="B163" s="908" t="s">
        <v>295</v>
      </c>
      <c r="C163" s="908"/>
      <c r="D163" s="908"/>
      <c r="E163" s="908"/>
    </row>
    <row r="164" spans="2:5" ht="5.25" customHeight="1" x14ac:dyDescent="0.25">
      <c r="B164" s="165"/>
      <c r="C164" s="164"/>
      <c r="D164" s="164"/>
      <c r="E164" s="164"/>
    </row>
    <row r="165" spans="2:5" ht="28.5" customHeight="1" x14ac:dyDescent="0.25">
      <c r="B165" s="908" t="s">
        <v>296</v>
      </c>
      <c r="C165" s="908"/>
      <c r="D165" s="908"/>
      <c r="E165" s="908"/>
    </row>
    <row r="166" spans="2:5" ht="3.75" customHeight="1" x14ac:dyDescent="0.25">
      <c r="B166" s="165"/>
      <c r="C166" s="164"/>
      <c r="D166" s="164"/>
      <c r="E166" s="164"/>
    </row>
    <row r="167" spans="2:5" ht="30" customHeight="1" x14ac:dyDescent="0.25">
      <c r="B167" s="908" t="s">
        <v>297</v>
      </c>
      <c r="C167" s="908"/>
      <c r="D167" s="908"/>
      <c r="E167" s="908"/>
    </row>
    <row r="168" spans="2:5" x14ac:dyDescent="0.25">
      <c r="B168" s="165"/>
      <c r="C168" s="164"/>
      <c r="D168" s="164"/>
      <c r="E168" s="164"/>
    </row>
    <row r="169" spans="2:5" x14ac:dyDescent="0.25">
      <c r="B169" s="165"/>
      <c r="C169" s="164"/>
      <c r="D169" s="164"/>
      <c r="E169" s="164"/>
    </row>
    <row r="170" spans="2:5" x14ac:dyDescent="0.25">
      <c r="B170" s="165"/>
      <c r="C170" s="164"/>
      <c r="D170" s="164"/>
      <c r="E170" s="164"/>
    </row>
    <row r="171" spans="2:5" x14ac:dyDescent="0.25">
      <c r="B171" s="165"/>
      <c r="C171" s="164"/>
      <c r="D171" s="164"/>
      <c r="E171" s="164"/>
    </row>
    <row r="172" spans="2:5" x14ac:dyDescent="0.25">
      <c r="B172" s="165"/>
      <c r="C172" s="164"/>
      <c r="D172" s="164"/>
      <c r="E172" s="164"/>
    </row>
    <row r="173" spans="2:5" ht="19.5" customHeight="1" x14ac:dyDescent="0.25">
      <c r="B173" s="908" t="s">
        <v>298</v>
      </c>
      <c r="C173" s="908"/>
      <c r="D173" s="908"/>
      <c r="E173" s="908"/>
    </row>
    <row r="174" spans="2:5" ht="4.5" customHeight="1" x14ac:dyDescent="0.25">
      <c r="B174" s="165"/>
      <c r="C174" s="164"/>
      <c r="D174" s="164"/>
      <c r="E174" s="164"/>
    </row>
    <row r="175" spans="2:5" ht="38.25" customHeight="1" x14ac:dyDescent="0.25">
      <c r="B175" s="908" t="s">
        <v>299</v>
      </c>
      <c r="C175" s="908"/>
      <c r="D175" s="908"/>
      <c r="E175" s="908"/>
    </row>
    <row r="176" spans="2:5" ht="32.25" customHeight="1" x14ac:dyDescent="0.25">
      <c r="B176" s="908" t="s">
        <v>300</v>
      </c>
      <c r="C176" s="908"/>
      <c r="D176" s="908"/>
      <c r="E176" s="908"/>
    </row>
    <row r="177" spans="2:5" ht="5.25" customHeight="1" x14ac:dyDescent="0.25">
      <c r="B177" s="165"/>
      <c r="C177" s="164"/>
      <c r="D177" s="164"/>
      <c r="E177" s="164"/>
    </row>
    <row r="178" spans="2:5" ht="39" customHeight="1" x14ac:dyDescent="0.25">
      <c r="B178" s="908" t="s">
        <v>301</v>
      </c>
      <c r="C178" s="908"/>
      <c r="D178" s="908"/>
      <c r="E178" s="908"/>
    </row>
    <row r="179" spans="2:5" ht="16.5" customHeight="1" x14ac:dyDescent="0.25">
      <c r="B179" s="908" t="s">
        <v>302</v>
      </c>
      <c r="C179" s="908"/>
      <c r="D179" s="908"/>
      <c r="E179" s="908"/>
    </row>
    <row r="180" spans="2:5" ht="4.5" customHeight="1" x14ac:dyDescent="0.25">
      <c r="B180" s="165"/>
      <c r="C180" s="164"/>
      <c r="D180" s="164"/>
      <c r="E180" s="164"/>
    </row>
    <row r="181" spans="2:5" ht="12.75" customHeight="1" x14ac:dyDescent="0.25">
      <c r="B181" s="165" t="s">
        <v>303</v>
      </c>
      <c r="C181" s="164"/>
      <c r="D181" s="164"/>
      <c r="E181" s="164"/>
    </row>
    <row r="182" spans="2:5" ht="6.75" customHeight="1" x14ac:dyDescent="0.25">
      <c r="B182" s="165"/>
      <c r="C182" s="164"/>
      <c r="D182" s="164"/>
      <c r="E182" s="164"/>
    </row>
    <row r="183" spans="2:5" x14ac:dyDescent="0.25">
      <c r="B183" s="165" t="s">
        <v>304</v>
      </c>
      <c r="C183" s="164"/>
      <c r="D183" s="164"/>
      <c r="E183" s="164"/>
    </row>
    <row r="184" spans="2:5" ht="4.5" customHeight="1" x14ac:dyDescent="0.25">
      <c r="B184" s="165"/>
      <c r="C184" s="164"/>
      <c r="D184" s="164"/>
      <c r="E184" s="164"/>
    </row>
    <row r="185" spans="2:5" x14ac:dyDescent="0.25">
      <c r="B185" s="165"/>
      <c r="C185" s="164"/>
      <c r="D185" s="164"/>
      <c r="E185" s="164"/>
    </row>
    <row r="186" spans="2:5" x14ac:dyDescent="0.25">
      <c r="B186" s="165"/>
      <c r="C186" s="164"/>
      <c r="D186" s="164"/>
      <c r="E186" s="164"/>
    </row>
    <row r="187" spans="2:5" x14ac:dyDescent="0.25">
      <c r="B187" s="165"/>
      <c r="C187" s="164"/>
      <c r="D187" s="164"/>
      <c r="E187" s="164"/>
    </row>
    <row r="188" spans="2:5" x14ac:dyDescent="0.25">
      <c r="B188" s="165"/>
      <c r="C188" s="164"/>
      <c r="D188" s="164"/>
      <c r="E188" s="164"/>
    </row>
    <row r="189" spans="2:5" x14ac:dyDescent="0.25">
      <c r="B189" s="165"/>
      <c r="C189" s="164"/>
      <c r="D189" s="164"/>
      <c r="E189" s="164"/>
    </row>
    <row r="190" spans="2:5" x14ac:dyDescent="0.25">
      <c r="B190" s="165"/>
      <c r="C190" s="164"/>
      <c r="D190" s="164"/>
      <c r="E190" s="164"/>
    </row>
    <row r="191" spans="2:5" x14ac:dyDescent="0.25">
      <c r="B191" s="165"/>
      <c r="C191" s="164"/>
      <c r="D191" s="164"/>
      <c r="E191" s="164"/>
    </row>
    <row r="192" spans="2:5" x14ac:dyDescent="0.25">
      <c r="B192" s="165"/>
      <c r="C192" s="164"/>
      <c r="D192" s="164"/>
      <c r="E192" s="164"/>
    </row>
    <row r="193" spans="2:5" x14ac:dyDescent="0.25">
      <c r="B193" s="165"/>
      <c r="C193" s="164"/>
      <c r="D193" s="164"/>
      <c r="E193" s="164"/>
    </row>
    <row r="194" spans="2:5" x14ac:dyDescent="0.25">
      <c r="B194" s="165"/>
      <c r="C194" s="164"/>
      <c r="D194" s="164"/>
      <c r="E194" s="164"/>
    </row>
    <row r="195" spans="2:5" x14ac:dyDescent="0.25">
      <c r="B195" s="165"/>
      <c r="C195" s="164"/>
      <c r="D195" s="164"/>
      <c r="E195" s="164"/>
    </row>
    <row r="196" spans="2:5" x14ac:dyDescent="0.25">
      <c r="B196" s="165" t="s">
        <v>305</v>
      </c>
      <c r="C196" s="164"/>
      <c r="D196" s="164"/>
      <c r="E196" s="164"/>
    </row>
    <row r="197" spans="2:5" x14ac:dyDescent="0.25">
      <c r="B197" s="165"/>
      <c r="C197" s="164"/>
      <c r="D197" s="164"/>
      <c r="E197" s="164"/>
    </row>
    <row r="198" spans="2:5" x14ac:dyDescent="0.25">
      <c r="B198" s="165"/>
      <c r="C198" s="164"/>
      <c r="D198" s="164"/>
      <c r="E198" s="164"/>
    </row>
    <row r="199" spans="2:5" x14ac:dyDescent="0.25">
      <c r="B199" s="165"/>
      <c r="C199" s="164"/>
      <c r="D199" s="164"/>
      <c r="E199" s="164"/>
    </row>
    <row r="200" spans="2:5" ht="24" customHeight="1" x14ac:dyDescent="0.25">
      <c r="B200" s="165"/>
      <c r="C200" s="164"/>
      <c r="D200" s="164"/>
      <c r="E200" s="164"/>
    </row>
    <row r="201" spans="2:5" ht="24" customHeight="1" x14ac:dyDescent="0.25">
      <c r="B201" s="165"/>
      <c r="C201" s="164"/>
      <c r="D201" s="164"/>
      <c r="E201" s="164"/>
    </row>
    <row r="202" spans="2:5" s="163" customFormat="1" ht="70.5" customHeight="1" x14ac:dyDescent="0.25">
      <c r="B202" s="908" t="s">
        <v>306</v>
      </c>
      <c r="C202" s="908"/>
      <c r="D202" s="908"/>
      <c r="E202" s="908"/>
    </row>
    <row r="203" spans="2:5" ht="32.25" customHeight="1" x14ac:dyDescent="0.25">
      <c r="B203" s="908" t="s">
        <v>307</v>
      </c>
      <c r="C203" s="908"/>
      <c r="D203" s="908"/>
      <c r="E203" s="908"/>
    </row>
    <row r="204" spans="2:5" x14ac:dyDescent="0.25">
      <c r="B204" s="908" t="s">
        <v>308</v>
      </c>
      <c r="C204" s="908"/>
      <c r="D204" s="908"/>
      <c r="E204" s="908"/>
    </row>
    <row r="205" spans="2:5" x14ac:dyDescent="0.25">
      <c r="B205" s="908" t="s">
        <v>309</v>
      </c>
      <c r="C205" s="908"/>
      <c r="D205" s="908"/>
      <c r="E205" s="908"/>
    </row>
    <row r="206" spans="2:5" x14ac:dyDescent="0.25">
      <c r="B206" s="165" t="s">
        <v>310</v>
      </c>
      <c r="C206" s="164"/>
      <c r="D206" s="164"/>
      <c r="E206" s="164"/>
    </row>
    <row r="207" spans="2:5" ht="31.5" customHeight="1" x14ac:dyDescent="0.25">
      <c r="B207" s="908" t="s">
        <v>311</v>
      </c>
      <c r="C207" s="908"/>
      <c r="D207" s="908"/>
      <c r="E207" s="908"/>
    </row>
    <row r="208" spans="2:5" ht="32.25" customHeight="1" x14ac:dyDescent="0.25">
      <c r="B208" s="908" t="s">
        <v>312</v>
      </c>
      <c r="C208" s="908"/>
      <c r="D208" s="908"/>
      <c r="E208" s="908"/>
    </row>
    <row r="209" spans="2:5" x14ac:dyDescent="0.25">
      <c r="B209" s="165" t="s">
        <v>313</v>
      </c>
      <c r="C209" s="164"/>
      <c r="D209" s="164"/>
      <c r="E209" s="164"/>
    </row>
    <row r="210" spans="2:5" x14ac:dyDescent="0.25">
      <c r="B210" s="165"/>
      <c r="C210" s="164"/>
      <c r="D210" s="164"/>
      <c r="E210" s="164"/>
    </row>
    <row r="211" spans="2:5" x14ac:dyDescent="0.25">
      <c r="B211" s="165"/>
      <c r="C211" s="164"/>
      <c r="D211" s="164"/>
      <c r="E211" s="164"/>
    </row>
    <row r="212" spans="2:5" x14ac:dyDescent="0.25">
      <c r="B212" s="165"/>
      <c r="C212" s="164"/>
      <c r="D212" s="164"/>
      <c r="E212" s="164"/>
    </row>
    <row r="213" spans="2:5" x14ac:dyDescent="0.25">
      <c r="B213" s="165"/>
      <c r="C213" s="164"/>
      <c r="D213" s="164"/>
      <c r="E213" s="164"/>
    </row>
    <row r="214" spans="2:5" ht="53.25" customHeight="1" x14ac:dyDescent="0.25">
      <c r="B214" s="908" t="s">
        <v>314</v>
      </c>
      <c r="C214" s="908"/>
      <c r="D214" s="908"/>
      <c r="E214" s="908"/>
    </row>
    <row r="215" spans="2:5" ht="69" customHeight="1" x14ac:dyDescent="0.25">
      <c r="B215" s="908" t="s">
        <v>315</v>
      </c>
      <c r="C215" s="908"/>
      <c r="D215" s="908"/>
      <c r="E215" s="908"/>
    </row>
    <row r="216" spans="2:5" ht="19.5" customHeight="1" x14ac:dyDescent="0.25">
      <c r="B216" s="165" t="s">
        <v>316</v>
      </c>
      <c r="C216" s="164"/>
      <c r="D216" s="164"/>
      <c r="E216" s="164"/>
    </row>
    <row r="217" spans="2:5" ht="30" customHeight="1" x14ac:dyDescent="0.25">
      <c r="B217" s="908" t="s">
        <v>317</v>
      </c>
      <c r="C217" s="908"/>
      <c r="D217" s="908"/>
      <c r="E217" s="908"/>
    </row>
    <row r="218" spans="2:5" x14ac:dyDescent="0.25"/>
  </sheetData>
  <mergeCells count="19">
    <mergeCell ref="B217:E217"/>
    <mergeCell ref="B204:E204"/>
    <mergeCell ref="B205:E205"/>
    <mergeCell ref="B207:E207"/>
    <mergeCell ref="B208:E208"/>
    <mergeCell ref="B214:E214"/>
    <mergeCell ref="B215:E215"/>
    <mergeCell ref="B203:E203"/>
    <mergeCell ref="B160:E160"/>
    <mergeCell ref="B161:E161"/>
    <mergeCell ref="B163:E163"/>
    <mergeCell ref="B165:E165"/>
    <mergeCell ref="B167:E167"/>
    <mergeCell ref="B173:E173"/>
    <mergeCell ref="B175:E175"/>
    <mergeCell ref="B176:E176"/>
    <mergeCell ref="B178:E178"/>
    <mergeCell ref="B179:E179"/>
    <mergeCell ref="B202:E202"/>
  </mergeCells>
  <phoneticPr fontId="0" type="noConversion"/>
  <hyperlinks>
    <hyperlink ref="B3" r:id="rId1" xr:uid="{00000000-0004-0000-0100-000000000000}"/>
    <hyperlink ref="B4" r:id="rId2" xr:uid="{00000000-0004-0000-0100-000001000000}"/>
  </hyperlinks>
  <pageMargins left="0.70866141732283472" right="0.19685039370078741" top="0.74803149606299213" bottom="0.55118110236220474" header="0.31496062992125984" footer="0.31496062992125984"/>
  <pageSetup paperSize="9" scale="76" fitToHeight="5" orientation="portrait" r:id="rId3"/>
  <rowBreaks count="3" manualBreakCount="3">
    <brk id="79" max="4" man="1"/>
    <brk id="157" max="4" man="1"/>
    <brk id="201"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15"/>
  <sheetViews>
    <sheetView workbookViewId="0">
      <selection activeCell="J27" sqref="J27"/>
    </sheetView>
  </sheetViews>
  <sheetFormatPr defaultColWidth="9.1796875" defaultRowHeight="14.5" x14ac:dyDescent="0.35"/>
  <cols>
    <col min="1" max="1" width="14.81640625" style="658" customWidth="1"/>
    <col min="2" max="2" width="20.81640625" style="621" bestFit="1" customWidth="1"/>
    <col min="3" max="7" width="9.1796875" style="621"/>
    <col min="8" max="8" width="3.26953125" style="621" customWidth="1"/>
    <col min="9" max="9" width="25.54296875" style="621" bestFit="1" customWidth="1"/>
    <col min="10" max="14" width="9.1796875" style="621"/>
    <col min="15" max="15" width="3.453125" style="621" customWidth="1"/>
    <col min="16" max="16" width="20.81640625" style="621" bestFit="1" customWidth="1"/>
    <col min="17" max="16384" width="9.1796875" style="621"/>
  </cols>
  <sheetData>
    <row r="1" spans="1:16" ht="18.5" x14ac:dyDescent="0.45">
      <c r="A1" s="912" t="s">
        <v>469</v>
      </c>
      <c r="B1" s="913"/>
      <c r="C1" s="913"/>
      <c r="D1" s="913"/>
      <c r="E1" s="913"/>
      <c r="F1" s="913"/>
      <c r="G1" s="913"/>
      <c r="H1" s="913"/>
      <c r="I1" s="913"/>
      <c r="J1" s="913"/>
    </row>
    <row r="2" spans="1:16" ht="18.5" x14ac:dyDescent="0.45">
      <c r="A2" s="914" t="s">
        <v>470</v>
      </c>
      <c r="B2" s="915"/>
      <c r="C2" s="915"/>
      <c r="D2" s="915"/>
      <c r="E2" s="915"/>
      <c r="F2" s="915"/>
      <c r="G2" s="915"/>
      <c r="H2" s="915"/>
      <c r="I2" s="915"/>
      <c r="J2" s="657"/>
    </row>
    <row r="3" spans="1:16" ht="15" thickBot="1" x14ac:dyDescent="0.4">
      <c r="A3" s="888" t="s">
        <v>623</v>
      </c>
    </row>
    <row r="4" spans="1:16" ht="15" thickBot="1" x14ac:dyDescent="0.4">
      <c r="A4" s="659" t="s">
        <v>471</v>
      </c>
      <c r="B4" s="644" t="s">
        <v>398</v>
      </c>
      <c r="C4" s="645" t="s">
        <v>399</v>
      </c>
      <c r="D4" s="645" t="s">
        <v>400</v>
      </c>
      <c r="E4" s="645" t="s">
        <v>372</v>
      </c>
      <c r="F4" s="645" t="s">
        <v>401</v>
      </c>
      <c r="G4" s="646" t="s">
        <v>402</v>
      </c>
      <c r="J4" s="642" t="s">
        <v>403</v>
      </c>
      <c r="K4" s="642" t="s">
        <v>404</v>
      </c>
      <c r="L4" s="642" t="s">
        <v>405</v>
      </c>
      <c r="M4" s="642" t="s">
        <v>406</v>
      </c>
      <c r="N4" s="642" t="s">
        <v>407</v>
      </c>
      <c r="P4" s="647" t="s">
        <v>398</v>
      </c>
    </row>
    <row r="5" spans="1:16" ht="15" customHeight="1" x14ac:dyDescent="0.35">
      <c r="A5" s="909" t="s">
        <v>472</v>
      </c>
      <c r="B5" s="649" t="s">
        <v>408</v>
      </c>
      <c r="C5" s="660">
        <v>1369</v>
      </c>
      <c r="D5" s="660">
        <v>1653</v>
      </c>
      <c r="E5" s="660">
        <v>2033</v>
      </c>
      <c r="F5" s="660">
        <v>2521</v>
      </c>
      <c r="G5" s="662">
        <v>2918</v>
      </c>
      <c r="I5" s="661" t="s">
        <v>427</v>
      </c>
      <c r="J5" s="660"/>
      <c r="K5" s="660"/>
      <c r="L5" s="660"/>
      <c r="M5" s="660"/>
      <c r="N5" s="662"/>
      <c r="P5" s="647" t="s">
        <v>398</v>
      </c>
    </row>
    <row r="6" spans="1:16" ht="15" thickBot="1" x14ac:dyDescent="0.4">
      <c r="A6" s="910"/>
      <c r="B6" s="651" t="s">
        <v>411</v>
      </c>
      <c r="C6" s="889">
        <v>1608</v>
      </c>
      <c r="D6" s="889">
        <v>1915</v>
      </c>
      <c r="E6" s="889">
        <v>2282</v>
      </c>
      <c r="F6" s="889">
        <v>2691</v>
      </c>
      <c r="G6" s="664">
        <v>3297</v>
      </c>
      <c r="I6" s="663"/>
      <c r="P6" s="650" t="s">
        <v>410</v>
      </c>
    </row>
    <row r="7" spans="1:16" x14ac:dyDescent="0.35">
      <c r="A7" s="910"/>
      <c r="B7" s="651" t="s">
        <v>414</v>
      </c>
      <c r="C7" s="889">
        <v>1345</v>
      </c>
      <c r="D7" s="889">
        <v>1572</v>
      </c>
      <c r="E7" s="889">
        <v>1812</v>
      </c>
      <c r="F7" s="889">
        <v>2081</v>
      </c>
      <c r="G7" s="664">
        <v>2203</v>
      </c>
      <c r="I7" s="661" t="s">
        <v>429</v>
      </c>
      <c r="J7" s="660"/>
      <c r="K7" s="660"/>
      <c r="L7" s="660"/>
      <c r="M7" s="660"/>
      <c r="N7" s="662"/>
      <c r="P7" s="650" t="s">
        <v>413</v>
      </c>
    </row>
    <row r="8" spans="1:16" ht="15" thickBot="1" x14ac:dyDescent="0.4">
      <c r="A8" s="910"/>
      <c r="B8" s="651" t="s">
        <v>417</v>
      </c>
      <c r="C8" s="889">
        <v>1715</v>
      </c>
      <c r="D8" s="889">
        <v>1982</v>
      </c>
      <c r="E8" s="889">
        <v>2269</v>
      </c>
      <c r="F8" s="889">
        <v>2522</v>
      </c>
      <c r="G8" s="664">
        <v>2681</v>
      </c>
      <c r="I8" s="663"/>
      <c r="P8" s="650" t="s">
        <v>416</v>
      </c>
    </row>
    <row r="9" spans="1:16" x14ac:dyDescent="0.35">
      <c r="A9" s="910"/>
      <c r="B9" s="651" t="s">
        <v>420</v>
      </c>
      <c r="C9" s="889">
        <v>1180</v>
      </c>
      <c r="D9" s="889">
        <v>1365</v>
      </c>
      <c r="E9" s="889">
        <v>1638</v>
      </c>
      <c r="F9" s="889">
        <v>1784</v>
      </c>
      <c r="G9" s="664">
        <v>2014</v>
      </c>
      <c r="I9" s="661" t="s">
        <v>431</v>
      </c>
      <c r="J9" s="660"/>
      <c r="K9" s="660"/>
      <c r="L9" s="660"/>
      <c r="M9" s="660"/>
      <c r="N9" s="662"/>
      <c r="P9" s="647" t="s">
        <v>419</v>
      </c>
    </row>
    <row r="10" spans="1:16" ht="15" thickBot="1" x14ac:dyDescent="0.4">
      <c r="A10" s="910"/>
      <c r="B10" s="651" t="s">
        <v>423</v>
      </c>
      <c r="C10" s="889">
        <v>1492</v>
      </c>
      <c r="D10" s="889">
        <v>1727</v>
      </c>
      <c r="E10" s="889">
        <v>2071</v>
      </c>
      <c r="F10" s="889">
        <v>2256</v>
      </c>
      <c r="G10" s="664">
        <v>2547</v>
      </c>
      <c r="I10" s="663"/>
      <c r="P10" s="650" t="s">
        <v>422</v>
      </c>
    </row>
    <row r="11" spans="1:16" x14ac:dyDescent="0.35">
      <c r="A11" s="910"/>
      <c r="B11" s="651" t="s">
        <v>426</v>
      </c>
      <c r="C11" s="889">
        <v>1360</v>
      </c>
      <c r="D11" s="889">
        <v>1574</v>
      </c>
      <c r="E11" s="889">
        <v>1888</v>
      </c>
      <c r="F11" s="889">
        <v>2056</v>
      </c>
      <c r="G11" s="664">
        <v>2321</v>
      </c>
      <c r="I11" s="661" t="s">
        <v>433</v>
      </c>
      <c r="J11" s="660"/>
      <c r="K11" s="660"/>
      <c r="L11" s="660"/>
      <c r="M11" s="660"/>
      <c r="N11" s="662"/>
      <c r="P11" s="650" t="s">
        <v>425</v>
      </c>
    </row>
    <row r="12" spans="1:16" ht="15" thickBot="1" x14ac:dyDescent="0.4">
      <c r="A12" s="910"/>
      <c r="B12" s="651" t="s">
        <v>428</v>
      </c>
      <c r="C12" s="889">
        <v>1281</v>
      </c>
      <c r="D12" s="889">
        <v>1483</v>
      </c>
      <c r="E12" s="889">
        <v>1778</v>
      </c>
      <c r="F12" s="889">
        <v>1937</v>
      </c>
      <c r="G12" s="664">
        <v>2187</v>
      </c>
      <c r="I12" s="663"/>
      <c r="P12" s="647" t="s">
        <v>408</v>
      </c>
    </row>
    <row r="13" spans="1:16" x14ac:dyDescent="0.35">
      <c r="A13" s="910"/>
      <c r="B13" s="651" t="s">
        <v>430</v>
      </c>
      <c r="C13" s="889">
        <v>1348</v>
      </c>
      <c r="D13" s="889">
        <v>1561</v>
      </c>
      <c r="E13" s="889">
        <v>1872</v>
      </c>
      <c r="F13" s="889">
        <v>2039</v>
      </c>
      <c r="G13" s="664">
        <v>2302</v>
      </c>
      <c r="I13" s="661" t="s">
        <v>473</v>
      </c>
      <c r="J13" s="660"/>
      <c r="K13" s="660"/>
      <c r="L13" s="660"/>
      <c r="M13" s="660"/>
      <c r="N13" s="662"/>
      <c r="P13" s="647" t="s">
        <v>411</v>
      </c>
    </row>
    <row r="14" spans="1:16" ht="15" thickBot="1" x14ac:dyDescent="0.4">
      <c r="A14" s="910"/>
      <c r="B14" s="651" t="s">
        <v>432</v>
      </c>
      <c r="C14" s="889">
        <v>1201</v>
      </c>
      <c r="D14" s="889">
        <v>1390</v>
      </c>
      <c r="E14" s="889">
        <v>1667</v>
      </c>
      <c r="F14" s="889">
        <v>1816</v>
      </c>
      <c r="G14" s="664">
        <v>2050</v>
      </c>
      <c r="I14" s="663"/>
      <c r="P14" s="647" t="s">
        <v>414</v>
      </c>
    </row>
    <row r="15" spans="1:16" x14ac:dyDescent="0.35">
      <c r="A15" s="910"/>
      <c r="B15" s="651" t="s">
        <v>434</v>
      </c>
      <c r="C15" s="889">
        <v>1035</v>
      </c>
      <c r="D15" s="889">
        <v>1198</v>
      </c>
      <c r="E15" s="889">
        <v>1437</v>
      </c>
      <c r="F15" s="889">
        <v>1566</v>
      </c>
      <c r="G15" s="664">
        <v>1768</v>
      </c>
      <c r="I15" s="661" t="s">
        <v>474</v>
      </c>
      <c r="J15" s="660"/>
      <c r="K15" s="660"/>
      <c r="L15" s="660"/>
      <c r="M15" s="660"/>
      <c r="N15" s="662"/>
      <c r="P15" s="647" t="s">
        <v>417</v>
      </c>
    </row>
    <row r="16" spans="1:16" x14ac:dyDescent="0.35">
      <c r="A16" s="910"/>
      <c r="B16" s="651" t="s">
        <v>435</v>
      </c>
      <c r="C16" s="889">
        <v>1129</v>
      </c>
      <c r="D16" s="889">
        <v>1307</v>
      </c>
      <c r="E16" s="889">
        <v>1568</v>
      </c>
      <c r="F16" s="889">
        <v>1707</v>
      </c>
      <c r="G16" s="664">
        <v>1928</v>
      </c>
      <c r="P16" s="647" t="s">
        <v>420</v>
      </c>
    </row>
    <row r="17" spans="1:16" x14ac:dyDescent="0.35">
      <c r="A17" s="910"/>
      <c r="B17" s="651" t="s">
        <v>437</v>
      </c>
      <c r="C17" s="889">
        <v>1188</v>
      </c>
      <c r="D17" s="889">
        <v>1375</v>
      </c>
      <c r="E17" s="889">
        <v>1649</v>
      </c>
      <c r="F17" s="889">
        <v>1796</v>
      </c>
      <c r="G17" s="664">
        <v>2028</v>
      </c>
      <c r="P17" s="647" t="s">
        <v>423</v>
      </c>
    </row>
    <row r="18" spans="1:16" x14ac:dyDescent="0.35">
      <c r="A18" s="910"/>
      <c r="B18" s="651" t="s">
        <v>439</v>
      </c>
      <c r="C18" s="889">
        <v>1198</v>
      </c>
      <c r="D18" s="889">
        <v>1387</v>
      </c>
      <c r="E18" s="889">
        <v>1664</v>
      </c>
      <c r="F18" s="890">
        <v>1812</v>
      </c>
      <c r="G18" s="664">
        <v>2046</v>
      </c>
      <c r="P18" s="647" t="s">
        <v>426</v>
      </c>
    </row>
    <row r="19" spans="1:16" x14ac:dyDescent="0.35">
      <c r="A19" s="910"/>
      <c r="B19" s="651" t="s">
        <v>441</v>
      </c>
      <c r="C19" s="889">
        <v>1339</v>
      </c>
      <c r="D19" s="889">
        <v>1550</v>
      </c>
      <c r="E19" s="889">
        <v>1859</v>
      </c>
      <c r="F19" s="889">
        <v>2025</v>
      </c>
      <c r="G19" s="664">
        <v>2287</v>
      </c>
      <c r="P19" s="647" t="s">
        <v>428</v>
      </c>
    </row>
    <row r="20" spans="1:16" x14ac:dyDescent="0.35">
      <c r="A20" s="910"/>
      <c r="B20" s="651" t="s">
        <v>443</v>
      </c>
      <c r="C20" s="889">
        <v>1086</v>
      </c>
      <c r="D20" s="889">
        <v>1257</v>
      </c>
      <c r="E20" s="889">
        <v>1508</v>
      </c>
      <c r="F20" s="889">
        <v>1643</v>
      </c>
      <c r="G20" s="664">
        <v>1855</v>
      </c>
      <c r="P20" s="647" t="s">
        <v>430</v>
      </c>
    </row>
    <row r="21" spans="1:16" x14ac:dyDescent="0.35">
      <c r="A21" s="910"/>
      <c r="B21" s="651" t="s">
        <v>444</v>
      </c>
      <c r="C21" s="889">
        <v>1224</v>
      </c>
      <c r="D21" s="889">
        <v>1417</v>
      </c>
      <c r="E21" s="889">
        <v>1700</v>
      </c>
      <c r="F21" s="889">
        <v>1852</v>
      </c>
      <c r="G21" s="664">
        <v>2091</v>
      </c>
      <c r="P21" s="647" t="s">
        <v>432</v>
      </c>
    </row>
    <row r="22" spans="1:16" x14ac:dyDescent="0.35">
      <c r="A22" s="910"/>
      <c r="B22" s="651" t="s">
        <v>445</v>
      </c>
      <c r="C22" s="889">
        <v>1062</v>
      </c>
      <c r="D22" s="889">
        <v>1229</v>
      </c>
      <c r="E22" s="889">
        <v>1475</v>
      </c>
      <c r="F22" s="889">
        <v>1606</v>
      </c>
      <c r="G22" s="664">
        <v>1813</v>
      </c>
      <c r="P22" s="647" t="s">
        <v>434</v>
      </c>
    </row>
    <row r="23" spans="1:16" x14ac:dyDescent="0.35">
      <c r="A23" s="910"/>
      <c r="B23" s="651" t="s">
        <v>370</v>
      </c>
      <c r="C23" s="889">
        <v>1338</v>
      </c>
      <c r="D23" s="889">
        <v>1549</v>
      </c>
      <c r="E23" s="889">
        <v>1858</v>
      </c>
      <c r="F23" s="889">
        <v>2024</v>
      </c>
      <c r="G23" s="664">
        <v>2285</v>
      </c>
      <c r="P23" s="647" t="s">
        <v>435</v>
      </c>
    </row>
    <row r="24" spans="1:16" x14ac:dyDescent="0.35">
      <c r="A24" s="910"/>
      <c r="B24" s="651" t="s">
        <v>446</v>
      </c>
      <c r="C24" s="889">
        <v>1156</v>
      </c>
      <c r="D24" s="889">
        <v>1338</v>
      </c>
      <c r="E24" s="889">
        <v>1605</v>
      </c>
      <c r="F24" s="889">
        <v>1748</v>
      </c>
      <c r="G24" s="664">
        <v>1974</v>
      </c>
      <c r="P24" s="647" t="s">
        <v>437</v>
      </c>
    </row>
    <row r="25" spans="1:16" x14ac:dyDescent="0.35">
      <c r="A25" s="910"/>
      <c r="B25" s="651" t="s">
        <v>447</v>
      </c>
      <c r="C25" s="889">
        <v>1066</v>
      </c>
      <c r="D25" s="889">
        <v>1234</v>
      </c>
      <c r="E25" s="889">
        <v>1481</v>
      </c>
      <c r="F25" s="889">
        <v>1613</v>
      </c>
      <c r="G25" s="664">
        <v>1821</v>
      </c>
      <c r="P25" s="647" t="s">
        <v>439</v>
      </c>
    </row>
    <row r="26" spans="1:16" x14ac:dyDescent="0.35">
      <c r="A26" s="910"/>
      <c r="B26" s="651" t="s">
        <v>448</v>
      </c>
      <c r="C26" s="889">
        <v>1104</v>
      </c>
      <c r="D26" s="889">
        <v>1278</v>
      </c>
      <c r="E26" s="889">
        <v>1533</v>
      </c>
      <c r="F26" s="889">
        <v>1670</v>
      </c>
      <c r="G26" s="664">
        <v>1886</v>
      </c>
      <c r="P26" s="647" t="s">
        <v>441</v>
      </c>
    </row>
    <row r="27" spans="1:16" x14ac:dyDescent="0.35">
      <c r="A27" s="910"/>
      <c r="B27" s="651" t="s">
        <v>418</v>
      </c>
      <c r="C27" s="889">
        <v>1035</v>
      </c>
      <c r="D27" s="889">
        <v>1198</v>
      </c>
      <c r="E27" s="889">
        <v>1438</v>
      </c>
      <c r="F27" s="889">
        <v>1566</v>
      </c>
      <c r="G27" s="664">
        <v>1768</v>
      </c>
      <c r="P27" s="647" t="s">
        <v>443</v>
      </c>
    </row>
    <row r="28" spans="1:16" x14ac:dyDescent="0.35">
      <c r="A28" s="910"/>
      <c r="B28" s="651" t="s">
        <v>421</v>
      </c>
      <c r="C28" s="889">
        <v>1408</v>
      </c>
      <c r="D28" s="889">
        <v>1630</v>
      </c>
      <c r="E28" s="889">
        <v>1955</v>
      </c>
      <c r="F28" s="889">
        <v>2129</v>
      </c>
      <c r="G28" s="664">
        <v>2404</v>
      </c>
      <c r="P28" s="647" t="s">
        <v>444</v>
      </c>
    </row>
    <row r="29" spans="1:16" ht="15" thickBot="1" x14ac:dyDescent="0.4">
      <c r="A29" s="911"/>
      <c r="B29" s="652" t="s">
        <v>424</v>
      </c>
      <c r="C29" s="665">
        <v>1054</v>
      </c>
      <c r="D29" s="665">
        <v>1219</v>
      </c>
      <c r="E29" s="665">
        <v>1463</v>
      </c>
      <c r="F29" s="665">
        <v>1593</v>
      </c>
      <c r="G29" s="666">
        <v>1799</v>
      </c>
      <c r="P29" s="647" t="s">
        <v>445</v>
      </c>
    </row>
    <row r="30" spans="1:16" x14ac:dyDescent="0.35">
      <c r="A30" s="916" t="s">
        <v>475</v>
      </c>
      <c r="B30" s="649" t="s">
        <v>419</v>
      </c>
      <c r="C30" s="660">
        <v>830</v>
      </c>
      <c r="D30" s="660">
        <v>948</v>
      </c>
      <c r="E30" s="660">
        <v>1137</v>
      </c>
      <c r="F30" s="660">
        <v>1238</v>
      </c>
      <c r="G30" s="662">
        <v>1398</v>
      </c>
      <c r="P30" s="647" t="s">
        <v>370</v>
      </c>
    </row>
    <row r="31" spans="1:16" x14ac:dyDescent="0.35">
      <c r="A31" s="917"/>
      <c r="B31" s="651" t="s">
        <v>442</v>
      </c>
      <c r="C31" s="889">
        <v>722</v>
      </c>
      <c r="D31" s="889">
        <v>824</v>
      </c>
      <c r="E31" s="889">
        <v>988</v>
      </c>
      <c r="F31" s="889">
        <v>1076</v>
      </c>
      <c r="G31" s="664">
        <v>1215</v>
      </c>
      <c r="P31" s="647" t="s">
        <v>446</v>
      </c>
    </row>
    <row r="32" spans="1:16" x14ac:dyDescent="0.35">
      <c r="A32" s="917"/>
      <c r="B32" s="651" t="s">
        <v>436</v>
      </c>
      <c r="C32" s="889">
        <v>644</v>
      </c>
      <c r="D32" s="889">
        <v>735</v>
      </c>
      <c r="E32" s="889">
        <v>882</v>
      </c>
      <c r="F32" s="889">
        <v>961</v>
      </c>
      <c r="G32" s="664">
        <v>1085</v>
      </c>
      <c r="P32" s="647" t="s">
        <v>447</v>
      </c>
    </row>
    <row r="33" spans="1:16" ht="15" thickBot="1" x14ac:dyDescent="0.4">
      <c r="A33" s="918"/>
      <c r="B33" s="652" t="s">
        <v>438</v>
      </c>
      <c r="C33" s="665">
        <v>553</v>
      </c>
      <c r="D33" s="665">
        <v>631</v>
      </c>
      <c r="E33" s="665">
        <v>757</v>
      </c>
      <c r="F33" s="665">
        <v>825</v>
      </c>
      <c r="G33" s="666">
        <v>932</v>
      </c>
      <c r="P33" s="647" t="s">
        <v>448</v>
      </c>
    </row>
    <row r="34" spans="1:16" ht="15" customHeight="1" x14ac:dyDescent="0.35">
      <c r="A34" s="909" t="s">
        <v>427</v>
      </c>
      <c r="B34" s="653" t="s">
        <v>449</v>
      </c>
      <c r="C34" s="823">
        <v>741</v>
      </c>
      <c r="D34" s="823">
        <v>859</v>
      </c>
      <c r="E34" s="823">
        <v>1030</v>
      </c>
      <c r="F34" s="823">
        <v>1122</v>
      </c>
      <c r="G34" s="823">
        <v>1267</v>
      </c>
      <c r="P34" s="647" t="s">
        <v>418</v>
      </c>
    </row>
    <row r="35" spans="1:16" x14ac:dyDescent="0.35">
      <c r="A35" s="910"/>
      <c r="B35" s="654" t="s">
        <v>450</v>
      </c>
      <c r="C35" s="891">
        <v>788</v>
      </c>
      <c r="D35" s="891">
        <v>913</v>
      </c>
      <c r="E35" s="891">
        <v>1095</v>
      </c>
      <c r="F35" s="891">
        <v>1193</v>
      </c>
      <c r="G35" s="891">
        <v>1347</v>
      </c>
      <c r="P35" s="647" t="s">
        <v>421</v>
      </c>
    </row>
    <row r="36" spans="1:16" x14ac:dyDescent="0.35">
      <c r="A36" s="910"/>
      <c r="B36" s="654" t="s">
        <v>451</v>
      </c>
      <c r="C36" s="891">
        <v>829</v>
      </c>
      <c r="D36" s="891">
        <v>961</v>
      </c>
      <c r="E36" s="891">
        <v>1153</v>
      </c>
      <c r="F36" s="891">
        <v>1256</v>
      </c>
      <c r="G36" s="891">
        <v>1418</v>
      </c>
      <c r="P36" s="647" t="s">
        <v>424</v>
      </c>
    </row>
    <row r="37" spans="1:16" ht="15" thickBot="1" x14ac:dyDescent="0.4">
      <c r="A37" s="911"/>
      <c r="B37" s="655" t="s">
        <v>452</v>
      </c>
      <c r="C37" s="824">
        <v>678</v>
      </c>
      <c r="D37" s="824">
        <v>786</v>
      </c>
      <c r="E37" s="824">
        <v>943</v>
      </c>
      <c r="F37" s="824">
        <v>1027</v>
      </c>
      <c r="G37" s="824">
        <v>1159</v>
      </c>
      <c r="P37" s="647" t="s">
        <v>442</v>
      </c>
    </row>
    <row r="38" spans="1:16" x14ac:dyDescent="0.35">
      <c r="A38" s="909" t="s">
        <v>429</v>
      </c>
      <c r="B38" s="654" t="s">
        <v>454</v>
      </c>
      <c r="C38" s="891">
        <v>526</v>
      </c>
      <c r="D38" s="891">
        <v>610</v>
      </c>
      <c r="E38" s="891">
        <v>732</v>
      </c>
      <c r="F38" s="891">
        <v>797</v>
      </c>
      <c r="G38" s="891">
        <v>900</v>
      </c>
      <c r="P38" s="650" t="s">
        <v>453</v>
      </c>
    </row>
    <row r="39" spans="1:16" x14ac:dyDescent="0.35">
      <c r="A39" s="910"/>
      <c r="B39" s="654" t="s">
        <v>456</v>
      </c>
      <c r="C39" s="891">
        <v>529</v>
      </c>
      <c r="D39" s="891">
        <v>613</v>
      </c>
      <c r="E39" s="891">
        <v>736</v>
      </c>
      <c r="F39" s="891">
        <v>801</v>
      </c>
      <c r="G39" s="891">
        <v>905</v>
      </c>
      <c r="P39" s="650" t="s">
        <v>455</v>
      </c>
    </row>
    <row r="40" spans="1:16" x14ac:dyDescent="0.35">
      <c r="A40" s="910"/>
      <c r="B40" s="654" t="s">
        <v>457</v>
      </c>
      <c r="C40" s="891">
        <v>404</v>
      </c>
      <c r="D40" s="891">
        <v>468</v>
      </c>
      <c r="E40" s="891">
        <v>562</v>
      </c>
      <c r="F40" s="891">
        <v>612</v>
      </c>
      <c r="G40" s="891">
        <v>691</v>
      </c>
      <c r="P40" s="650" t="s">
        <v>450</v>
      </c>
    </row>
    <row r="41" spans="1:16" ht="15" thickBot="1" x14ac:dyDescent="0.4">
      <c r="A41" s="911"/>
      <c r="B41" s="655" t="s">
        <v>459</v>
      </c>
      <c r="C41" s="824">
        <v>500</v>
      </c>
      <c r="D41" s="824">
        <v>579</v>
      </c>
      <c r="E41" s="824">
        <v>695</v>
      </c>
      <c r="F41" s="824">
        <v>757</v>
      </c>
      <c r="G41" s="824">
        <v>855</v>
      </c>
      <c r="P41" s="650" t="s">
        <v>458</v>
      </c>
    </row>
    <row r="42" spans="1:16" ht="15" customHeight="1" x14ac:dyDescent="0.35">
      <c r="A42" s="909" t="s">
        <v>431</v>
      </c>
      <c r="B42" s="654" t="s">
        <v>410</v>
      </c>
      <c r="C42" s="891">
        <v>527</v>
      </c>
      <c r="D42" s="891">
        <v>611</v>
      </c>
      <c r="E42" s="891">
        <v>732</v>
      </c>
      <c r="F42" s="891">
        <v>798</v>
      </c>
      <c r="G42" s="891">
        <v>901</v>
      </c>
      <c r="P42" s="650" t="s">
        <v>454</v>
      </c>
    </row>
    <row r="43" spans="1:16" x14ac:dyDescent="0.35">
      <c r="A43" s="910"/>
      <c r="B43" s="654" t="s">
        <v>458</v>
      </c>
      <c r="C43" s="891">
        <v>555</v>
      </c>
      <c r="D43" s="891">
        <v>643</v>
      </c>
      <c r="E43" s="891">
        <v>771</v>
      </c>
      <c r="F43" s="891">
        <v>840</v>
      </c>
      <c r="G43" s="891">
        <v>949</v>
      </c>
      <c r="P43" s="650" t="s">
        <v>460</v>
      </c>
    </row>
    <row r="44" spans="1:16" ht="15" thickBot="1" x14ac:dyDescent="0.4">
      <c r="A44" s="911"/>
      <c r="B44" s="655" t="s">
        <v>461</v>
      </c>
      <c r="C44" s="824">
        <v>485</v>
      </c>
      <c r="D44" s="824">
        <v>562</v>
      </c>
      <c r="E44" s="824">
        <v>674</v>
      </c>
      <c r="F44" s="824">
        <v>734</v>
      </c>
      <c r="G44" s="824">
        <v>829</v>
      </c>
      <c r="P44" s="647" t="s">
        <v>436</v>
      </c>
    </row>
    <row r="45" spans="1:16" x14ac:dyDescent="0.35">
      <c r="A45" s="909" t="s">
        <v>433</v>
      </c>
      <c r="B45" s="654" t="s">
        <v>422</v>
      </c>
      <c r="C45" s="891">
        <v>546</v>
      </c>
      <c r="D45" s="891">
        <v>638</v>
      </c>
      <c r="E45" s="891">
        <v>766</v>
      </c>
      <c r="F45" s="891">
        <v>834</v>
      </c>
      <c r="G45" s="891">
        <v>941</v>
      </c>
      <c r="P45" s="650" t="s">
        <v>462</v>
      </c>
    </row>
    <row r="46" spans="1:16" x14ac:dyDescent="0.35">
      <c r="A46" s="910"/>
      <c r="B46" s="654" t="s">
        <v>462</v>
      </c>
      <c r="C46" s="891">
        <v>459</v>
      </c>
      <c r="D46" s="891">
        <v>536</v>
      </c>
      <c r="E46" s="891">
        <v>643</v>
      </c>
      <c r="F46" s="891">
        <v>700</v>
      </c>
      <c r="G46" s="891">
        <v>790</v>
      </c>
      <c r="P46" s="650" t="s">
        <v>457</v>
      </c>
    </row>
    <row r="47" spans="1:16" x14ac:dyDescent="0.35">
      <c r="A47" s="910"/>
      <c r="B47" s="654" t="s">
        <v>416</v>
      </c>
      <c r="C47" s="891">
        <v>455</v>
      </c>
      <c r="D47" s="891">
        <v>532</v>
      </c>
      <c r="E47" s="891">
        <v>638</v>
      </c>
      <c r="F47" s="891">
        <v>695</v>
      </c>
      <c r="G47" s="891">
        <v>784</v>
      </c>
      <c r="P47" s="650" t="s">
        <v>452</v>
      </c>
    </row>
    <row r="48" spans="1:16" x14ac:dyDescent="0.35">
      <c r="A48" s="910"/>
      <c r="B48" s="654" t="s">
        <v>455</v>
      </c>
      <c r="C48" s="891">
        <v>451</v>
      </c>
      <c r="D48" s="891">
        <v>527</v>
      </c>
      <c r="E48" s="891">
        <v>633</v>
      </c>
      <c r="F48" s="891">
        <v>689</v>
      </c>
      <c r="G48" s="891">
        <v>778</v>
      </c>
      <c r="P48" s="650" t="s">
        <v>463</v>
      </c>
    </row>
    <row r="49" spans="1:16" x14ac:dyDescent="0.35">
      <c r="A49" s="910"/>
      <c r="B49" s="654" t="s">
        <v>464</v>
      </c>
      <c r="C49" s="891">
        <v>460</v>
      </c>
      <c r="D49" s="891">
        <v>537</v>
      </c>
      <c r="E49" s="891">
        <v>644</v>
      </c>
      <c r="F49" s="891">
        <v>702</v>
      </c>
      <c r="G49" s="891">
        <v>792</v>
      </c>
      <c r="P49" s="650" t="s">
        <v>449</v>
      </c>
    </row>
    <row r="50" spans="1:16" ht="15" thickBot="1" x14ac:dyDescent="0.4">
      <c r="A50" s="911"/>
      <c r="B50" s="655" t="s">
        <v>466</v>
      </c>
      <c r="C50" s="824">
        <v>477</v>
      </c>
      <c r="D50" s="824">
        <v>558</v>
      </c>
      <c r="E50" s="824">
        <v>669</v>
      </c>
      <c r="F50" s="824">
        <v>729</v>
      </c>
      <c r="G50" s="824">
        <v>823</v>
      </c>
      <c r="P50" s="650" t="s">
        <v>465</v>
      </c>
    </row>
    <row r="51" spans="1:16" x14ac:dyDescent="0.35">
      <c r="A51" s="909" t="s">
        <v>473</v>
      </c>
      <c r="B51" s="654" t="s">
        <v>453</v>
      </c>
      <c r="C51" s="891">
        <v>484</v>
      </c>
      <c r="D51" s="891">
        <v>550</v>
      </c>
      <c r="E51" s="891">
        <v>660</v>
      </c>
      <c r="F51" s="891">
        <v>719</v>
      </c>
      <c r="G51" s="891">
        <v>811</v>
      </c>
      <c r="P51" s="650" t="s">
        <v>459</v>
      </c>
    </row>
    <row r="52" spans="1:16" x14ac:dyDescent="0.35">
      <c r="A52" s="910"/>
      <c r="B52" s="654" t="s">
        <v>460</v>
      </c>
      <c r="C52" s="891">
        <v>381</v>
      </c>
      <c r="D52" s="891">
        <v>433</v>
      </c>
      <c r="E52" s="891">
        <v>519</v>
      </c>
      <c r="F52" s="891">
        <v>566</v>
      </c>
      <c r="G52" s="891">
        <v>639</v>
      </c>
      <c r="P52" s="650" t="s">
        <v>467</v>
      </c>
    </row>
    <row r="53" spans="1:16" x14ac:dyDescent="0.35">
      <c r="A53" s="910"/>
      <c r="B53" s="654" t="s">
        <v>463</v>
      </c>
      <c r="C53" s="891">
        <v>428</v>
      </c>
      <c r="D53" s="891">
        <v>487</v>
      </c>
      <c r="E53" s="891">
        <v>584</v>
      </c>
      <c r="F53" s="891">
        <v>636</v>
      </c>
      <c r="G53" s="891">
        <v>718</v>
      </c>
      <c r="P53" s="650" t="s">
        <v>468</v>
      </c>
    </row>
    <row r="54" spans="1:16" x14ac:dyDescent="0.35">
      <c r="A54" s="910"/>
      <c r="B54" s="654" t="s">
        <v>467</v>
      </c>
      <c r="C54" s="891">
        <v>411</v>
      </c>
      <c r="D54" s="891">
        <v>467</v>
      </c>
      <c r="E54" s="891">
        <v>561</v>
      </c>
      <c r="F54" s="891">
        <v>610</v>
      </c>
      <c r="G54" s="891">
        <v>689</v>
      </c>
      <c r="P54" s="650" t="s">
        <v>464</v>
      </c>
    </row>
    <row r="55" spans="1:16" ht="15" thickBot="1" x14ac:dyDescent="0.4">
      <c r="A55" s="911"/>
      <c r="B55" s="655" t="s">
        <v>468</v>
      </c>
      <c r="C55" s="824">
        <v>463</v>
      </c>
      <c r="D55" s="824">
        <v>526</v>
      </c>
      <c r="E55" s="824">
        <v>632</v>
      </c>
      <c r="F55" s="824">
        <v>688</v>
      </c>
      <c r="G55" s="824">
        <v>777</v>
      </c>
      <c r="P55" s="647" t="s">
        <v>438</v>
      </c>
    </row>
    <row r="56" spans="1:16" x14ac:dyDescent="0.35">
      <c r="A56" s="909" t="s">
        <v>474</v>
      </c>
      <c r="B56" s="654" t="s">
        <v>413</v>
      </c>
      <c r="C56" s="891">
        <v>436</v>
      </c>
      <c r="D56" s="891">
        <v>496</v>
      </c>
      <c r="E56" s="891">
        <v>595</v>
      </c>
      <c r="F56" s="891">
        <v>648</v>
      </c>
      <c r="G56" s="891">
        <v>732</v>
      </c>
      <c r="P56" s="650" t="s">
        <v>466</v>
      </c>
    </row>
    <row r="57" spans="1:16" x14ac:dyDescent="0.35">
      <c r="A57" s="910"/>
      <c r="B57" s="654" t="s">
        <v>425</v>
      </c>
      <c r="C57" s="891">
        <v>422</v>
      </c>
      <c r="D57" s="891">
        <v>480</v>
      </c>
      <c r="E57" s="891">
        <v>576</v>
      </c>
      <c r="F57" s="891">
        <v>627</v>
      </c>
      <c r="G57" s="891">
        <v>708</v>
      </c>
      <c r="P57" s="650" t="s">
        <v>456</v>
      </c>
    </row>
    <row r="58" spans="1:16" ht="15" thickBot="1" x14ac:dyDescent="0.4">
      <c r="A58" s="911"/>
      <c r="B58" s="655" t="s">
        <v>465</v>
      </c>
      <c r="C58" s="824">
        <v>474</v>
      </c>
      <c r="D58" s="824">
        <v>538</v>
      </c>
      <c r="E58" s="824">
        <v>646</v>
      </c>
      <c r="F58" s="824">
        <v>703</v>
      </c>
      <c r="G58" s="824">
        <v>794</v>
      </c>
      <c r="P58" s="650" t="s">
        <v>461</v>
      </c>
    </row>
    <row r="59" spans="1:16" x14ac:dyDescent="0.35">
      <c r="G59" s="892" t="s">
        <v>620</v>
      </c>
      <c r="P59" s="650" t="s">
        <v>451</v>
      </c>
    </row>
    <row r="115" spans="2:2" x14ac:dyDescent="0.35">
      <c r="B115" s="650" t="s">
        <v>465</v>
      </c>
    </row>
  </sheetData>
  <sheetProtection password="844E" sheet="1" objects="1" scenarios="1"/>
  <mergeCells count="10">
    <mergeCell ref="A42:A44"/>
    <mergeCell ref="A45:A50"/>
    <mergeCell ref="A51:A55"/>
    <mergeCell ref="A56:A58"/>
    <mergeCell ref="A1:J1"/>
    <mergeCell ref="A2:I2"/>
    <mergeCell ref="A5:A29"/>
    <mergeCell ref="A30:A33"/>
    <mergeCell ref="A34:A37"/>
    <mergeCell ref="A38:A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O114"/>
  <sheetViews>
    <sheetView workbookViewId="0">
      <selection activeCell="I57" sqref="I57"/>
    </sheetView>
  </sheetViews>
  <sheetFormatPr defaultColWidth="9.1796875" defaultRowHeight="14.5" x14ac:dyDescent="0.35"/>
  <cols>
    <col min="1" max="1" width="20.81640625" style="621" bestFit="1" customWidth="1"/>
    <col min="2" max="6" width="9.1796875" style="621"/>
    <col min="7" max="7" width="3.81640625" style="621" customWidth="1"/>
    <col min="8" max="8" width="34.453125" style="621" customWidth="1"/>
    <col min="9" max="9" width="12.1796875" style="621" customWidth="1"/>
    <col min="10" max="14" width="9.1796875" style="621"/>
    <col min="15" max="15" width="20.81640625" style="621" bestFit="1" customWidth="1"/>
    <col min="16" max="16384" width="9.1796875" style="621"/>
  </cols>
  <sheetData>
    <row r="1" spans="1:15" ht="18.5" x14ac:dyDescent="0.45">
      <c r="A1" s="913" t="s">
        <v>397</v>
      </c>
      <c r="B1" s="913"/>
      <c r="C1" s="913"/>
      <c r="D1" s="913"/>
      <c r="E1" s="913"/>
      <c r="F1" s="913"/>
      <c r="G1" s="913"/>
      <c r="H1" s="915"/>
      <c r="I1" s="915"/>
      <c r="J1" s="915"/>
      <c r="K1" s="915"/>
      <c r="L1" s="915"/>
      <c r="M1" s="915"/>
    </row>
    <row r="2" spans="1:15" ht="15" thickBot="1" x14ac:dyDescent="0.4">
      <c r="A2" s="892" t="s">
        <v>623</v>
      </c>
    </row>
    <row r="3" spans="1:15" ht="15" thickBot="1" x14ac:dyDescent="0.4">
      <c r="A3" s="644" t="s">
        <v>398</v>
      </c>
      <c r="B3" s="645" t="s">
        <v>399</v>
      </c>
      <c r="C3" s="645" t="s">
        <v>400</v>
      </c>
      <c r="D3" s="645" t="s">
        <v>372</v>
      </c>
      <c r="E3" s="842" t="s">
        <v>401</v>
      </c>
      <c r="F3" s="646" t="s">
        <v>402</v>
      </c>
      <c r="H3" s="647" t="s">
        <v>369</v>
      </c>
      <c r="I3" s="648" t="s">
        <v>403</v>
      </c>
      <c r="J3" s="648" t="s">
        <v>404</v>
      </c>
      <c r="K3" s="648" t="s">
        <v>405</v>
      </c>
      <c r="L3" s="648" t="s">
        <v>406</v>
      </c>
      <c r="M3" s="648" t="s">
        <v>407</v>
      </c>
      <c r="O3" s="647" t="s">
        <v>398</v>
      </c>
    </row>
    <row r="4" spans="1:15" ht="15" customHeight="1" x14ac:dyDescent="0.35">
      <c r="A4" s="649" t="s">
        <v>408</v>
      </c>
      <c r="B4" s="826">
        <v>0.09</v>
      </c>
      <c r="C4" s="826">
        <v>7.3999999999999996E-2</v>
      </c>
      <c r="D4" s="826">
        <v>6.6000000000000003E-2</v>
      </c>
      <c r="E4" s="826">
        <v>5.8000000000000003E-2</v>
      </c>
      <c r="F4" s="826">
        <v>5.0999999999999997E-2</v>
      </c>
      <c r="H4" s="647" t="s">
        <v>409</v>
      </c>
      <c r="I4" s="825"/>
      <c r="J4" s="825"/>
      <c r="K4" s="825"/>
      <c r="L4" s="825"/>
      <c r="M4" s="825"/>
      <c r="O4" s="650" t="s">
        <v>410</v>
      </c>
    </row>
    <row r="5" spans="1:15" x14ac:dyDescent="0.35">
      <c r="A5" s="651" t="s">
        <v>411</v>
      </c>
      <c r="B5" s="827">
        <v>8.2000000000000003E-2</v>
      </c>
      <c r="C5" s="827">
        <v>7.0000000000000007E-2</v>
      </c>
      <c r="D5" s="827">
        <v>5.8999999999999997E-2</v>
      </c>
      <c r="E5" s="827">
        <v>4.9000000000000002E-2</v>
      </c>
      <c r="F5" s="827">
        <v>0.05</v>
      </c>
      <c r="H5" s="647" t="s">
        <v>412</v>
      </c>
      <c r="I5" s="825"/>
      <c r="J5" s="825"/>
      <c r="K5" s="825"/>
      <c r="L5" s="825"/>
      <c r="M5" s="825"/>
      <c r="O5" s="650" t="s">
        <v>413</v>
      </c>
    </row>
    <row r="6" spans="1:15" x14ac:dyDescent="0.35">
      <c r="A6" s="651" t="s">
        <v>414</v>
      </c>
      <c r="B6" s="827">
        <v>7.4999999999999997E-2</v>
      </c>
      <c r="C6" s="827">
        <v>6.2E-2</v>
      </c>
      <c r="D6" s="827">
        <v>5.1999999999999998E-2</v>
      </c>
      <c r="E6" s="827">
        <v>3.9E-2</v>
      </c>
      <c r="F6" s="827">
        <v>3.3000000000000002E-2</v>
      </c>
      <c r="H6" s="647" t="s">
        <v>415</v>
      </c>
      <c r="I6" s="825"/>
      <c r="J6" s="825"/>
      <c r="K6" s="825"/>
      <c r="L6" s="825"/>
      <c r="M6" s="825"/>
      <c r="O6" s="650" t="s">
        <v>416</v>
      </c>
    </row>
    <row r="7" spans="1:15" x14ac:dyDescent="0.35">
      <c r="A7" s="651" t="s">
        <v>417</v>
      </c>
      <c r="B7" s="827">
        <v>6.9000000000000006E-2</v>
      </c>
      <c r="C7" s="827">
        <v>5.8000000000000003E-2</v>
      </c>
      <c r="D7" s="827">
        <v>4.3999999999999997E-2</v>
      </c>
      <c r="E7" s="827">
        <v>3.1E-2</v>
      </c>
      <c r="F7" s="827">
        <v>2.7E-2</v>
      </c>
      <c r="H7" s="647" t="s">
        <v>418</v>
      </c>
      <c r="I7" s="825"/>
      <c r="J7" s="825"/>
      <c r="K7" s="825"/>
      <c r="L7" s="825"/>
      <c r="M7" s="825"/>
      <c r="O7" s="647" t="s">
        <v>419</v>
      </c>
    </row>
    <row r="8" spans="1:15" x14ac:dyDescent="0.35">
      <c r="A8" s="651" t="s">
        <v>420</v>
      </c>
      <c r="B8" s="827">
        <v>8.4000000000000005E-2</v>
      </c>
      <c r="C8" s="827">
        <v>7.1999999999999995E-2</v>
      </c>
      <c r="D8" s="827">
        <v>5.8999999999999997E-2</v>
      </c>
      <c r="E8" s="827">
        <v>4.1000000000000002E-2</v>
      </c>
      <c r="F8" s="827">
        <v>3.9E-2</v>
      </c>
      <c r="H8" s="647" t="s">
        <v>421</v>
      </c>
      <c r="I8" s="825"/>
      <c r="J8" s="825"/>
      <c r="K8" s="825"/>
      <c r="L8" s="825"/>
      <c r="M8" s="825"/>
      <c r="O8" s="650" t="s">
        <v>422</v>
      </c>
    </row>
    <row r="9" spans="1:15" x14ac:dyDescent="0.35">
      <c r="A9" s="651" t="s">
        <v>423</v>
      </c>
      <c r="B9" s="827">
        <v>6.6000000000000003E-2</v>
      </c>
      <c r="C9" s="827">
        <v>5.6000000000000001E-2</v>
      </c>
      <c r="D9" s="827">
        <v>4.7E-2</v>
      </c>
      <c r="E9" s="827">
        <v>3.2000000000000001E-2</v>
      </c>
      <c r="F9" s="827">
        <v>0.03</v>
      </c>
      <c r="H9" s="647" t="s">
        <v>424</v>
      </c>
      <c r="I9" s="825"/>
      <c r="J9" s="825"/>
      <c r="K9" s="825"/>
      <c r="L9" s="825"/>
      <c r="M9" s="825"/>
      <c r="O9" s="650" t="s">
        <v>425</v>
      </c>
    </row>
    <row r="10" spans="1:15" x14ac:dyDescent="0.35">
      <c r="A10" s="651" t="s">
        <v>426</v>
      </c>
      <c r="B10" s="827">
        <v>7.0000000000000007E-2</v>
      </c>
      <c r="C10" s="827">
        <v>0.06</v>
      </c>
      <c r="D10" s="827">
        <v>0.05</v>
      </c>
      <c r="E10" s="827">
        <v>3.4000000000000002E-2</v>
      </c>
      <c r="F10" s="827">
        <v>3.3000000000000002E-2</v>
      </c>
      <c r="H10" s="647" t="s">
        <v>427</v>
      </c>
      <c r="I10" s="825"/>
      <c r="J10" s="825"/>
      <c r="K10" s="825"/>
      <c r="L10" s="825"/>
      <c r="M10" s="825"/>
      <c r="O10" s="647" t="s">
        <v>408</v>
      </c>
    </row>
    <row r="11" spans="1:15" x14ac:dyDescent="0.35">
      <c r="A11" s="651" t="s">
        <v>428</v>
      </c>
      <c r="B11" s="827">
        <v>0.09</v>
      </c>
      <c r="C11" s="827">
        <v>7.6999999999999999E-2</v>
      </c>
      <c r="D11" s="827">
        <v>6.3E-2</v>
      </c>
      <c r="E11" s="827">
        <v>4.3999999999999997E-2</v>
      </c>
      <c r="F11" s="827">
        <v>4.1000000000000002E-2</v>
      </c>
      <c r="H11" s="647" t="s">
        <v>429</v>
      </c>
      <c r="I11" s="825"/>
      <c r="J11" s="825"/>
      <c r="K11" s="825"/>
      <c r="L11" s="825"/>
      <c r="M11" s="825"/>
      <c r="O11" s="647" t="s">
        <v>411</v>
      </c>
    </row>
    <row r="12" spans="1:15" x14ac:dyDescent="0.35">
      <c r="A12" s="651" t="s">
        <v>430</v>
      </c>
      <c r="B12" s="827">
        <v>9.4E-2</v>
      </c>
      <c r="C12" s="827">
        <v>0.08</v>
      </c>
      <c r="D12" s="827">
        <v>6.6000000000000003E-2</v>
      </c>
      <c r="E12" s="827">
        <v>4.5999999999999999E-2</v>
      </c>
      <c r="F12" s="827">
        <v>4.2999999999999997E-2</v>
      </c>
      <c r="H12" s="647" t="s">
        <v>431</v>
      </c>
      <c r="I12" s="825"/>
      <c r="J12" s="825"/>
      <c r="K12" s="825"/>
      <c r="L12" s="825"/>
      <c r="M12" s="825"/>
      <c r="O12" s="647" t="s">
        <v>414</v>
      </c>
    </row>
    <row r="13" spans="1:15" x14ac:dyDescent="0.35">
      <c r="A13" s="651" t="s">
        <v>432</v>
      </c>
      <c r="B13" s="827">
        <v>8.4000000000000005E-2</v>
      </c>
      <c r="C13" s="827">
        <v>7.1999999999999995E-2</v>
      </c>
      <c r="D13" s="827">
        <v>5.8999999999999997E-2</v>
      </c>
      <c r="E13" s="827">
        <v>4.1000000000000002E-2</v>
      </c>
      <c r="F13" s="827">
        <v>3.9E-2</v>
      </c>
      <c r="H13" s="647" t="s">
        <v>433</v>
      </c>
      <c r="I13" s="825"/>
      <c r="J13" s="825"/>
      <c r="K13" s="825"/>
      <c r="L13" s="825"/>
      <c r="M13" s="825"/>
      <c r="O13" s="647" t="s">
        <v>417</v>
      </c>
    </row>
    <row r="14" spans="1:15" x14ac:dyDescent="0.35">
      <c r="A14" s="651" t="s">
        <v>434</v>
      </c>
      <c r="B14" s="827">
        <v>0.11600000000000001</v>
      </c>
      <c r="C14" s="827">
        <v>9.9000000000000005E-2</v>
      </c>
      <c r="D14" s="827">
        <v>8.2000000000000003E-2</v>
      </c>
      <c r="E14" s="827">
        <v>5.7000000000000002E-2</v>
      </c>
      <c r="F14" s="827">
        <v>5.3999999999999999E-2</v>
      </c>
      <c r="H14" s="647" t="s">
        <v>419</v>
      </c>
      <c r="I14" s="825"/>
      <c r="J14" s="825"/>
      <c r="K14" s="825"/>
      <c r="L14" s="825"/>
      <c r="M14" s="825"/>
      <c r="O14" s="647" t="s">
        <v>420</v>
      </c>
    </row>
    <row r="15" spans="1:15" x14ac:dyDescent="0.35">
      <c r="A15" s="651" t="s">
        <v>435</v>
      </c>
      <c r="B15" s="827">
        <v>0.10199999999999999</v>
      </c>
      <c r="C15" s="827">
        <v>8.6999999999999994E-2</v>
      </c>
      <c r="D15" s="827">
        <v>7.1999999999999995E-2</v>
      </c>
      <c r="E15" s="827">
        <v>0.05</v>
      </c>
      <c r="F15" s="827">
        <v>4.7E-2</v>
      </c>
      <c r="H15" s="647" t="s">
        <v>436</v>
      </c>
      <c r="I15" s="825"/>
      <c r="J15" s="825"/>
      <c r="K15" s="825"/>
      <c r="L15" s="825"/>
      <c r="M15" s="825"/>
      <c r="O15" s="647" t="s">
        <v>423</v>
      </c>
    </row>
    <row r="16" spans="1:15" x14ac:dyDescent="0.35">
      <c r="A16" s="651" t="s">
        <v>437</v>
      </c>
      <c r="B16" s="827">
        <v>9.6000000000000002E-2</v>
      </c>
      <c r="C16" s="827">
        <v>8.3000000000000004E-2</v>
      </c>
      <c r="D16" s="827">
        <v>6.8000000000000005E-2</v>
      </c>
      <c r="E16" s="827">
        <v>4.7E-2</v>
      </c>
      <c r="F16" s="827">
        <v>4.4999999999999998E-2</v>
      </c>
      <c r="H16" s="647" t="s">
        <v>438</v>
      </c>
      <c r="I16" s="825"/>
      <c r="J16" s="825"/>
      <c r="K16" s="825"/>
      <c r="L16" s="825"/>
      <c r="M16" s="825"/>
      <c r="O16" s="647" t="s">
        <v>426</v>
      </c>
    </row>
    <row r="17" spans="1:15" x14ac:dyDescent="0.35">
      <c r="A17" s="651" t="s">
        <v>439</v>
      </c>
      <c r="B17" s="827">
        <v>8.2000000000000003E-2</v>
      </c>
      <c r="C17" s="827">
        <v>7.0000000000000007E-2</v>
      </c>
      <c r="D17" s="827">
        <v>5.8000000000000003E-2</v>
      </c>
      <c r="E17" s="827">
        <v>0.04</v>
      </c>
      <c r="F17" s="827">
        <v>3.7999999999999999E-2</v>
      </c>
      <c r="H17" s="647" t="s">
        <v>440</v>
      </c>
      <c r="I17" s="825"/>
      <c r="J17" s="825"/>
      <c r="K17" s="825"/>
      <c r="L17" s="825"/>
      <c r="M17" s="825"/>
      <c r="O17" s="647" t="s">
        <v>428</v>
      </c>
    </row>
    <row r="18" spans="1:15" x14ac:dyDescent="0.35">
      <c r="A18" s="651" t="s">
        <v>441</v>
      </c>
      <c r="B18" s="827">
        <v>7.3999999999999996E-2</v>
      </c>
      <c r="C18" s="827">
        <v>6.3E-2</v>
      </c>
      <c r="D18" s="827">
        <v>5.1999999999999998E-2</v>
      </c>
      <c r="E18" s="827">
        <v>3.5999999999999997E-2</v>
      </c>
      <c r="F18" s="827">
        <v>3.4000000000000002E-2</v>
      </c>
      <c r="H18" s="647" t="s">
        <v>442</v>
      </c>
      <c r="I18" s="825"/>
      <c r="J18" s="825"/>
      <c r="K18" s="825"/>
      <c r="L18" s="825"/>
      <c r="M18" s="825"/>
      <c r="O18" s="647" t="s">
        <v>430</v>
      </c>
    </row>
    <row r="19" spans="1:15" x14ac:dyDescent="0.35">
      <c r="A19" s="651" t="s">
        <v>443</v>
      </c>
      <c r="B19" s="827">
        <v>9.6000000000000002E-2</v>
      </c>
      <c r="C19" s="827">
        <v>8.2000000000000003E-2</v>
      </c>
      <c r="D19" s="827">
        <v>6.8000000000000005E-2</v>
      </c>
      <c r="E19" s="827">
        <v>4.7E-2</v>
      </c>
      <c r="F19" s="827">
        <v>4.3999999999999997E-2</v>
      </c>
      <c r="O19" s="647" t="s">
        <v>432</v>
      </c>
    </row>
    <row r="20" spans="1:15" x14ac:dyDescent="0.35">
      <c r="A20" s="651" t="s">
        <v>444</v>
      </c>
      <c r="B20" s="827">
        <v>7.6999999999999999E-2</v>
      </c>
      <c r="C20" s="827">
        <v>6.6000000000000003E-2</v>
      </c>
      <c r="D20" s="827">
        <v>5.3999999999999999E-2</v>
      </c>
      <c r="E20" s="827">
        <v>3.7999999999999999E-2</v>
      </c>
      <c r="F20" s="827">
        <v>3.5999999999999997E-2</v>
      </c>
      <c r="O20" s="647" t="s">
        <v>434</v>
      </c>
    </row>
    <row r="21" spans="1:15" x14ac:dyDescent="0.35">
      <c r="A21" s="651" t="s">
        <v>445</v>
      </c>
      <c r="B21" s="827">
        <v>0.11</v>
      </c>
      <c r="C21" s="827">
        <v>9.4E-2</v>
      </c>
      <c r="D21" s="827">
        <v>7.8E-2</v>
      </c>
      <c r="E21" s="827">
        <v>5.3999999999999999E-2</v>
      </c>
      <c r="F21" s="827">
        <v>5.0999999999999997E-2</v>
      </c>
      <c r="O21" s="647" t="s">
        <v>435</v>
      </c>
    </row>
    <row r="22" spans="1:15" x14ac:dyDescent="0.35">
      <c r="A22" s="651" t="s">
        <v>370</v>
      </c>
      <c r="B22" s="827">
        <v>7.4999999999999997E-2</v>
      </c>
      <c r="C22" s="827">
        <v>6.4000000000000001E-2</v>
      </c>
      <c r="D22" s="827">
        <v>5.2999999999999999E-2</v>
      </c>
      <c r="E22" s="827">
        <v>3.5999999999999997E-2</v>
      </c>
      <c r="F22" s="827">
        <v>3.5000000000000003E-2</v>
      </c>
      <c r="O22" s="647" t="s">
        <v>437</v>
      </c>
    </row>
    <row r="23" spans="1:15" x14ac:dyDescent="0.35">
      <c r="A23" s="651" t="s">
        <v>446</v>
      </c>
      <c r="B23" s="827">
        <v>8.8999999999999996E-2</v>
      </c>
      <c r="C23" s="827">
        <v>7.5999999999999998E-2</v>
      </c>
      <c r="D23" s="827">
        <v>6.3E-2</v>
      </c>
      <c r="E23" s="827">
        <v>4.2999999999999997E-2</v>
      </c>
      <c r="F23" s="827">
        <v>4.1000000000000002E-2</v>
      </c>
      <c r="O23" s="647" t="s">
        <v>439</v>
      </c>
    </row>
    <row r="24" spans="1:15" x14ac:dyDescent="0.35">
      <c r="A24" s="651" t="s">
        <v>447</v>
      </c>
      <c r="B24" s="827">
        <v>0.114</v>
      </c>
      <c r="C24" s="827">
        <v>9.8000000000000004E-2</v>
      </c>
      <c r="D24" s="827">
        <v>8.1000000000000003E-2</v>
      </c>
      <c r="E24" s="827">
        <v>5.6000000000000001E-2</v>
      </c>
      <c r="F24" s="827">
        <v>5.2999999999999999E-2</v>
      </c>
      <c r="O24" s="647" t="s">
        <v>441</v>
      </c>
    </row>
    <row r="25" spans="1:15" x14ac:dyDescent="0.35">
      <c r="A25" s="651" t="s">
        <v>448</v>
      </c>
      <c r="B25" s="827">
        <v>0.111</v>
      </c>
      <c r="C25" s="827">
        <v>9.5000000000000001E-2</v>
      </c>
      <c r="D25" s="827">
        <v>7.8E-2</v>
      </c>
      <c r="E25" s="827">
        <v>5.3999999999999999E-2</v>
      </c>
      <c r="F25" s="827">
        <v>5.0999999999999997E-2</v>
      </c>
      <c r="O25" s="647" t="s">
        <v>443</v>
      </c>
    </row>
    <row r="26" spans="1:15" x14ac:dyDescent="0.35">
      <c r="A26" s="651" t="s">
        <v>418</v>
      </c>
      <c r="B26" s="827">
        <v>0.09</v>
      </c>
      <c r="C26" s="827">
        <v>7.6999999999999999E-2</v>
      </c>
      <c r="D26" s="827">
        <v>6.4000000000000001E-2</v>
      </c>
      <c r="E26" s="827">
        <v>4.3999999999999997E-2</v>
      </c>
      <c r="F26" s="827">
        <v>4.2000000000000003E-2</v>
      </c>
      <c r="O26" s="647" t="s">
        <v>444</v>
      </c>
    </row>
    <row r="27" spans="1:15" x14ac:dyDescent="0.35">
      <c r="A27" s="651" t="s">
        <v>421</v>
      </c>
      <c r="B27" s="827">
        <v>6.6000000000000003E-2</v>
      </c>
      <c r="C27" s="827">
        <v>5.6000000000000001E-2</v>
      </c>
      <c r="D27" s="827">
        <v>4.5999999999999999E-2</v>
      </c>
      <c r="E27" s="827">
        <v>3.2000000000000001E-2</v>
      </c>
      <c r="F27" s="827">
        <v>0.03</v>
      </c>
      <c r="O27" s="647" t="s">
        <v>445</v>
      </c>
    </row>
    <row r="28" spans="1:15" ht="15" thickBot="1" x14ac:dyDescent="0.4">
      <c r="A28" s="652" t="s">
        <v>424</v>
      </c>
      <c r="B28" s="828">
        <v>9.4E-2</v>
      </c>
      <c r="C28" s="828">
        <v>8.1000000000000003E-2</v>
      </c>
      <c r="D28" s="828">
        <v>6.7000000000000004E-2</v>
      </c>
      <c r="E28" s="828">
        <v>4.5999999999999999E-2</v>
      </c>
      <c r="F28" s="828">
        <v>4.3999999999999997E-2</v>
      </c>
      <c r="O28" s="647" t="s">
        <v>370</v>
      </c>
    </row>
    <row r="29" spans="1:15" x14ac:dyDescent="0.35">
      <c r="A29" s="649" t="s">
        <v>419</v>
      </c>
      <c r="B29" s="826">
        <v>0.1</v>
      </c>
      <c r="C29" s="826">
        <v>8.4000000000000005E-2</v>
      </c>
      <c r="D29" s="826">
        <v>6.4000000000000001E-2</v>
      </c>
      <c r="E29" s="826">
        <v>4.1000000000000002E-2</v>
      </c>
      <c r="F29" s="826">
        <v>3.7999999999999999E-2</v>
      </c>
      <c r="O29" s="647" t="s">
        <v>446</v>
      </c>
    </row>
    <row r="30" spans="1:15" x14ac:dyDescent="0.35">
      <c r="A30" s="651" t="s">
        <v>442</v>
      </c>
      <c r="B30" s="827">
        <v>9.1999999999999998E-2</v>
      </c>
      <c r="C30" s="827">
        <v>7.6999999999999999E-2</v>
      </c>
      <c r="D30" s="827">
        <v>5.8000000000000003E-2</v>
      </c>
      <c r="E30" s="827">
        <v>3.7999999999999999E-2</v>
      </c>
      <c r="F30" s="827">
        <v>3.5000000000000003E-2</v>
      </c>
      <c r="O30" s="647" t="s">
        <v>447</v>
      </c>
    </row>
    <row r="31" spans="1:15" x14ac:dyDescent="0.35">
      <c r="A31" s="651" t="s">
        <v>436</v>
      </c>
      <c r="B31" s="827">
        <v>0.111</v>
      </c>
      <c r="C31" s="827">
        <v>9.4E-2</v>
      </c>
      <c r="D31" s="827">
        <v>7.0999999999999994E-2</v>
      </c>
      <c r="E31" s="827">
        <v>4.5999999999999999E-2</v>
      </c>
      <c r="F31" s="827">
        <v>4.2000000000000003E-2</v>
      </c>
      <c r="O31" s="647" t="s">
        <v>448</v>
      </c>
    </row>
    <row r="32" spans="1:15" ht="15" thickBot="1" x14ac:dyDescent="0.4">
      <c r="A32" s="652" t="s">
        <v>438</v>
      </c>
      <c r="B32" s="828">
        <v>0.112</v>
      </c>
      <c r="C32" s="828">
        <v>9.4E-2</v>
      </c>
      <c r="D32" s="828">
        <v>7.0999999999999994E-2</v>
      </c>
      <c r="E32" s="828">
        <v>4.5999999999999999E-2</v>
      </c>
      <c r="F32" s="828">
        <v>4.2999999999999997E-2</v>
      </c>
      <c r="O32" s="647" t="s">
        <v>418</v>
      </c>
    </row>
    <row r="33" spans="1:15" ht="15" customHeight="1" x14ac:dyDescent="0.35">
      <c r="A33" s="653" t="s">
        <v>449</v>
      </c>
      <c r="B33" s="829">
        <v>0.104</v>
      </c>
      <c r="C33" s="829">
        <v>9.0999999999999998E-2</v>
      </c>
      <c r="D33" s="829">
        <v>7.5999999999999998E-2</v>
      </c>
      <c r="E33" s="829">
        <v>4.2999999999999997E-2</v>
      </c>
      <c r="F33" s="829">
        <v>4.4999999999999998E-2</v>
      </c>
      <c r="O33" s="647" t="s">
        <v>421</v>
      </c>
    </row>
    <row r="34" spans="1:15" x14ac:dyDescent="0.35">
      <c r="A34" s="654" t="s">
        <v>450</v>
      </c>
      <c r="B34" s="830">
        <v>0.10299999999999999</v>
      </c>
      <c r="C34" s="830">
        <v>0.09</v>
      </c>
      <c r="D34" s="830">
        <v>7.4999999999999997E-2</v>
      </c>
      <c r="E34" s="830">
        <v>4.2000000000000003E-2</v>
      </c>
      <c r="F34" s="830">
        <v>4.3999999999999997E-2</v>
      </c>
      <c r="O34" s="647" t="s">
        <v>424</v>
      </c>
    </row>
    <row r="35" spans="1:15" x14ac:dyDescent="0.35">
      <c r="A35" s="654" t="s">
        <v>451</v>
      </c>
      <c r="B35" s="830">
        <v>8.8999999999999996E-2</v>
      </c>
      <c r="C35" s="830">
        <v>7.8E-2</v>
      </c>
      <c r="D35" s="830">
        <v>6.5000000000000002E-2</v>
      </c>
      <c r="E35" s="830">
        <v>3.5999999999999997E-2</v>
      </c>
      <c r="F35" s="830">
        <v>3.9E-2</v>
      </c>
      <c r="O35" s="647" t="s">
        <v>442</v>
      </c>
    </row>
    <row r="36" spans="1:15" ht="15" thickBot="1" x14ac:dyDescent="0.4">
      <c r="A36" s="655" t="s">
        <v>452</v>
      </c>
      <c r="B36" s="831">
        <v>0.108</v>
      </c>
      <c r="C36" s="831">
        <v>9.4E-2</v>
      </c>
      <c r="D36" s="831">
        <v>7.9000000000000001E-2</v>
      </c>
      <c r="E36" s="831">
        <v>4.3999999999999997E-2</v>
      </c>
      <c r="F36" s="831">
        <v>4.7E-2</v>
      </c>
      <c r="O36" s="650" t="s">
        <v>453</v>
      </c>
    </row>
    <row r="37" spans="1:15" x14ac:dyDescent="0.35">
      <c r="A37" s="654" t="s">
        <v>454</v>
      </c>
      <c r="B37" s="830">
        <v>0.109</v>
      </c>
      <c r="C37" s="830">
        <v>9.5000000000000001E-2</v>
      </c>
      <c r="D37" s="830">
        <v>0.08</v>
      </c>
      <c r="E37" s="830">
        <v>4.4999999999999998E-2</v>
      </c>
      <c r="F37" s="830">
        <v>4.7E-2</v>
      </c>
      <c r="O37" s="650" t="s">
        <v>455</v>
      </c>
    </row>
    <row r="38" spans="1:15" x14ac:dyDescent="0.35">
      <c r="A38" s="654" t="s">
        <v>456</v>
      </c>
      <c r="B38" s="830">
        <v>0.10299999999999999</v>
      </c>
      <c r="C38" s="830">
        <v>0.09</v>
      </c>
      <c r="D38" s="830">
        <v>7.4999999999999997E-2</v>
      </c>
      <c r="E38" s="830">
        <v>4.2000000000000003E-2</v>
      </c>
      <c r="F38" s="830">
        <v>4.4999999999999998E-2</v>
      </c>
      <c r="O38" s="650" t="s">
        <v>450</v>
      </c>
    </row>
    <row r="39" spans="1:15" x14ac:dyDescent="0.35">
      <c r="A39" s="654" t="s">
        <v>457</v>
      </c>
      <c r="B39" s="830">
        <v>0.127</v>
      </c>
      <c r="C39" s="830">
        <v>0.111</v>
      </c>
      <c r="D39" s="830">
        <v>9.2999999999999999E-2</v>
      </c>
      <c r="E39" s="830">
        <v>5.1999999999999998E-2</v>
      </c>
      <c r="F39" s="830">
        <v>5.5E-2</v>
      </c>
      <c r="O39" s="650" t="s">
        <v>458</v>
      </c>
    </row>
    <row r="40" spans="1:15" ht="15" thickBot="1" x14ac:dyDescent="0.4">
      <c r="A40" s="655" t="s">
        <v>459</v>
      </c>
      <c r="B40" s="831">
        <v>0.104</v>
      </c>
      <c r="C40" s="831">
        <v>9.0999999999999998E-2</v>
      </c>
      <c r="D40" s="831">
        <v>7.5999999999999998E-2</v>
      </c>
      <c r="E40" s="831">
        <v>4.2999999999999997E-2</v>
      </c>
      <c r="F40" s="831">
        <v>4.4999999999999998E-2</v>
      </c>
      <c r="O40" s="650" t="s">
        <v>454</v>
      </c>
    </row>
    <row r="41" spans="1:15" ht="15" customHeight="1" x14ac:dyDescent="0.35">
      <c r="A41" s="654" t="s">
        <v>410</v>
      </c>
      <c r="B41" s="830">
        <v>0.108</v>
      </c>
      <c r="C41" s="830">
        <v>9.4E-2</v>
      </c>
      <c r="D41" s="830">
        <v>7.9000000000000001E-2</v>
      </c>
      <c r="E41" s="830">
        <v>4.3999999999999997E-2</v>
      </c>
      <c r="F41" s="830">
        <v>4.7E-2</v>
      </c>
      <c r="O41" s="650" t="s">
        <v>460</v>
      </c>
    </row>
    <row r="42" spans="1:15" x14ac:dyDescent="0.35">
      <c r="A42" s="654" t="s">
        <v>458</v>
      </c>
      <c r="B42" s="830">
        <v>9.4E-2</v>
      </c>
      <c r="C42" s="830">
        <v>8.2000000000000003E-2</v>
      </c>
      <c r="D42" s="830">
        <v>6.9000000000000006E-2</v>
      </c>
      <c r="E42" s="830">
        <v>3.9E-2</v>
      </c>
      <c r="F42" s="830">
        <v>4.1000000000000002E-2</v>
      </c>
      <c r="O42" s="647" t="s">
        <v>436</v>
      </c>
    </row>
    <row r="43" spans="1:15" ht="15" thickBot="1" x14ac:dyDescent="0.4">
      <c r="A43" s="655" t="s">
        <v>461</v>
      </c>
      <c r="B43" s="831">
        <v>9.4E-2</v>
      </c>
      <c r="C43" s="831">
        <v>8.2000000000000003E-2</v>
      </c>
      <c r="D43" s="831">
        <v>6.9000000000000006E-2</v>
      </c>
      <c r="E43" s="831">
        <v>3.7999999999999999E-2</v>
      </c>
      <c r="F43" s="831">
        <v>4.1000000000000002E-2</v>
      </c>
      <c r="O43" s="650" t="s">
        <v>462</v>
      </c>
    </row>
    <row r="44" spans="1:15" x14ac:dyDescent="0.35">
      <c r="A44" s="654" t="s">
        <v>422</v>
      </c>
      <c r="B44" s="830">
        <v>9.6000000000000002E-2</v>
      </c>
      <c r="C44" s="830">
        <v>8.8999999999999996E-2</v>
      </c>
      <c r="D44" s="830">
        <v>7.0999999999999994E-2</v>
      </c>
      <c r="E44" s="830">
        <v>0.04</v>
      </c>
      <c r="F44" s="830">
        <v>4.1000000000000002E-2</v>
      </c>
      <c r="O44" s="650" t="s">
        <v>457</v>
      </c>
    </row>
    <row r="45" spans="1:15" x14ac:dyDescent="0.35">
      <c r="A45" s="654" t="s">
        <v>462</v>
      </c>
      <c r="B45" s="830">
        <v>0.106</v>
      </c>
      <c r="C45" s="830">
        <v>9.8000000000000004E-2</v>
      </c>
      <c r="D45" s="830">
        <v>7.9000000000000001E-2</v>
      </c>
      <c r="E45" s="830">
        <v>4.4999999999999998E-2</v>
      </c>
      <c r="F45" s="830">
        <v>4.4999999999999998E-2</v>
      </c>
      <c r="O45" s="650" t="s">
        <v>452</v>
      </c>
    </row>
    <row r="46" spans="1:15" x14ac:dyDescent="0.35">
      <c r="A46" s="654" t="s">
        <v>416</v>
      </c>
      <c r="B46" s="830">
        <v>9.7000000000000003E-2</v>
      </c>
      <c r="C46" s="830">
        <v>0.09</v>
      </c>
      <c r="D46" s="830">
        <v>7.1999999999999995E-2</v>
      </c>
      <c r="E46" s="830">
        <v>4.1000000000000002E-2</v>
      </c>
      <c r="F46" s="830">
        <v>4.2000000000000003E-2</v>
      </c>
      <c r="O46" s="650" t="s">
        <v>463</v>
      </c>
    </row>
    <row r="47" spans="1:15" x14ac:dyDescent="0.35">
      <c r="A47" s="654" t="s">
        <v>455</v>
      </c>
      <c r="B47" s="830">
        <v>9.1999999999999998E-2</v>
      </c>
      <c r="C47" s="830">
        <v>8.5999999999999993E-2</v>
      </c>
      <c r="D47" s="830">
        <v>6.9000000000000006E-2</v>
      </c>
      <c r="E47" s="830">
        <v>3.9E-2</v>
      </c>
      <c r="F47" s="830">
        <v>0.04</v>
      </c>
      <c r="O47" s="650" t="s">
        <v>449</v>
      </c>
    </row>
    <row r="48" spans="1:15" x14ac:dyDescent="0.35">
      <c r="A48" s="654" t="s">
        <v>464</v>
      </c>
      <c r="B48" s="830">
        <v>0.10299999999999999</v>
      </c>
      <c r="C48" s="830">
        <v>9.6000000000000002E-2</v>
      </c>
      <c r="D48" s="830">
        <v>7.6999999999999999E-2</v>
      </c>
      <c r="E48" s="830">
        <v>4.3999999999999997E-2</v>
      </c>
      <c r="F48" s="830">
        <v>4.3999999999999997E-2</v>
      </c>
      <c r="O48" s="650" t="s">
        <v>465</v>
      </c>
    </row>
    <row r="49" spans="1:15" ht="15" thickBot="1" x14ac:dyDescent="0.4">
      <c r="A49" s="655" t="s">
        <v>466</v>
      </c>
      <c r="B49" s="831">
        <v>8.5999999999999993E-2</v>
      </c>
      <c r="C49" s="831">
        <v>0.08</v>
      </c>
      <c r="D49" s="831">
        <v>6.4000000000000001E-2</v>
      </c>
      <c r="E49" s="831">
        <v>3.5999999999999997E-2</v>
      </c>
      <c r="F49" s="831">
        <v>3.6999999999999998E-2</v>
      </c>
      <c r="O49" s="650" t="s">
        <v>459</v>
      </c>
    </row>
    <row r="50" spans="1:15" x14ac:dyDescent="0.35">
      <c r="A50" s="654" t="s">
        <v>453</v>
      </c>
      <c r="B50" s="830">
        <v>0.114</v>
      </c>
      <c r="C50" s="830">
        <v>0.10299999999999999</v>
      </c>
      <c r="D50" s="830">
        <v>8.3000000000000004E-2</v>
      </c>
      <c r="E50" s="830">
        <v>4.5999999999999999E-2</v>
      </c>
      <c r="F50" s="830">
        <v>4.5999999999999999E-2</v>
      </c>
      <c r="O50" s="650" t="s">
        <v>467</v>
      </c>
    </row>
    <row r="51" spans="1:15" x14ac:dyDescent="0.35">
      <c r="A51" s="654" t="s">
        <v>460</v>
      </c>
      <c r="B51" s="830">
        <v>0.115</v>
      </c>
      <c r="C51" s="830">
        <v>0.104</v>
      </c>
      <c r="D51" s="830">
        <v>8.4000000000000005E-2</v>
      </c>
      <c r="E51" s="830">
        <v>4.5999999999999999E-2</v>
      </c>
      <c r="F51" s="830">
        <v>4.7E-2</v>
      </c>
      <c r="O51" s="650" t="s">
        <v>468</v>
      </c>
    </row>
    <row r="52" spans="1:15" x14ac:dyDescent="0.35">
      <c r="A52" s="654" t="s">
        <v>463</v>
      </c>
      <c r="B52" s="830">
        <v>0.108</v>
      </c>
      <c r="C52" s="830">
        <v>9.8000000000000004E-2</v>
      </c>
      <c r="D52" s="830">
        <v>7.9000000000000001E-2</v>
      </c>
      <c r="E52" s="830">
        <v>4.3999999999999997E-2</v>
      </c>
      <c r="F52" s="830">
        <v>4.3999999999999997E-2</v>
      </c>
      <c r="O52" s="650" t="s">
        <v>464</v>
      </c>
    </row>
    <row r="53" spans="1:15" x14ac:dyDescent="0.35">
      <c r="A53" s="654" t="s">
        <v>467</v>
      </c>
      <c r="B53" s="830">
        <v>0.126</v>
      </c>
      <c r="C53" s="830">
        <v>0.114</v>
      </c>
      <c r="D53" s="830">
        <v>9.1999999999999998E-2</v>
      </c>
      <c r="E53" s="830">
        <v>5.0999999999999997E-2</v>
      </c>
      <c r="F53" s="830">
        <v>5.0999999999999997E-2</v>
      </c>
      <c r="O53" s="647" t="s">
        <v>438</v>
      </c>
    </row>
    <row r="54" spans="1:15" ht="15" thickBot="1" x14ac:dyDescent="0.4">
      <c r="A54" s="655" t="s">
        <v>468</v>
      </c>
      <c r="B54" s="831">
        <v>0.125</v>
      </c>
      <c r="C54" s="831">
        <v>0.113</v>
      </c>
      <c r="D54" s="831">
        <v>9.0999999999999998E-2</v>
      </c>
      <c r="E54" s="831">
        <v>0.05</v>
      </c>
      <c r="F54" s="831">
        <v>5.0999999999999997E-2</v>
      </c>
      <c r="O54" s="650" t="s">
        <v>466</v>
      </c>
    </row>
    <row r="55" spans="1:15" x14ac:dyDescent="0.35">
      <c r="A55" s="654" t="s">
        <v>413</v>
      </c>
      <c r="B55" s="830">
        <v>0.11899999999999999</v>
      </c>
      <c r="C55" s="830">
        <v>0.108</v>
      </c>
      <c r="D55" s="830">
        <v>8.6999999999999994E-2</v>
      </c>
      <c r="E55" s="830">
        <v>4.8000000000000001E-2</v>
      </c>
      <c r="F55" s="830">
        <v>4.8000000000000001E-2</v>
      </c>
      <c r="O55" s="650" t="s">
        <v>456</v>
      </c>
    </row>
    <row r="56" spans="1:15" x14ac:dyDescent="0.35">
      <c r="A56" s="654" t="s">
        <v>425</v>
      </c>
      <c r="B56" s="830">
        <v>0.112</v>
      </c>
      <c r="C56" s="830">
        <v>0.10199999999999999</v>
      </c>
      <c r="D56" s="830">
        <v>8.2000000000000003E-2</v>
      </c>
      <c r="E56" s="830">
        <v>4.4999999999999998E-2</v>
      </c>
      <c r="F56" s="830">
        <v>4.4999999999999998E-2</v>
      </c>
      <c r="O56" s="650" t="s">
        <v>461</v>
      </c>
    </row>
    <row r="57" spans="1:15" ht="15" thickBot="1" x14ac:dyDescent="0.4">
      <c r="A57" s="655" t="s">
        <v>465</v>
      </c>
      <c r="B57" s="831">
        <v>0.113</v>
      </c>
      <c r="C57" s="831">
        <v>0.10199999999999999</v>
      </c>
      <c r="D57" s="831">
        <v>8.2000000000000003E-2</v>
      </c>
      <c r="E57" s="831">
        <v>4.4999999999999998E-2</v>
      </c>
      <c r="F57" s="831">
        <v>4.5999999999999999E-2</v>
      </c>
      <c r="O57" s="650" t="s">
        <v>451</v>
      </c>
    </row>
    <row r="58" spans="1:15" x14ac:dyDescent="0.35">
      <c r="B58" s="656"/>
      <c r="C58" s="656"/>
      <c r="D58" s="656"/>
      <c r="E58" s="656"/>
      <c r="F58" s="893" t="s">
        <v>607</v>
      </c>
    </row>
    <row r="59" spans="1:15" x14ac:dyDescent="0.35">
      <c r="D59" s="656"/>
    </row>
    <row r="114" spans="1:1" x14ac:dyDescent="0.35">
      <c r="A114" s="650" t="s">
        <v>465</v>
      </c>
    </row>
  </sheetData>
  <sheetProtection password="844E" sheet="1" objects="1" scenarios="1"/>
  <mergeCells count="1">
    <mergeCell ref="A1:M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7" tint="0.59999389629810485"/>
    <pageSetUpPr fitToPage="1"/>
  </sheetPr>
  <dimension ref="A1:WVU3495"/>
  <sheetViews>
    <sheetView showGridLines="0" topLeftCell="A151" zoomScale="60" zoomScaleNormal="60" workbookViewId="0">
      <selection activeCell="F11" sqref="F11"/>
    </sheetView>
  </sheetViews>
  <sheetFormatPr defaultColWidth="0" defaultRowHeight="12.75" customHeight="1" x14ac:dyDescent="0.35"/>
  <cols>
    <col min="1" max="1" width="32.81640625" style="281" customWidth="1"/>
    <col min="2" max="2" width="26.7265625" style="281" customWidth="1"/>
    <col min="3" max="3" width="18.54296875" style="281" customWidth="1"/>
    <col min="4" max="4" width="4.54296875" style="281" customWidth="1"/>
    <col min="5" max="5" width="25.81640625" style="281" customWidth="1"/>
    <col min="6" max="6" width="24.1796875" style="281" customWidth="1"/>
    <col min="7" max="7" width="25.81640625" style="281" customWidth="1"/>
    <col min="8" max="8" width="29.1796875" style="281" customWidth="1"/>
    <col min="9" max="9" width="33.54296875" style="281" customWidth="1"/>
    <col min="10" max="10" width="8.453125" style="281" customWidth="1"/>
    <col min="11" max="11" width="28.26953125" style="281" customWidth="1"/>
    <col min="12" max="12" width="4.7265625" style="281" customWidth="1"/>
    <col min="13" max="13" width="3" style="276" customWidth="1"/>
    <col min="14" max="14" width="48.453125" style="473" hidden="1" customWidth="1"/>
    <col min="15" max="15" width="42.453125" style="473" hidden="1" customWidth="1"/>
    <col min="16" max="16" width="44" style="473" hidden="1" customWidth="1"/>
    <col min="17" max="17" width="31.26953125" style="473" hidden="1" customWidth="1"/>
    <col min="18" max="18" width="22.453125" style="473" hidden="1" customWidth="1"/>
    <col min="19" max="19" width="9.1796875" style="473" hidden="1" customWidth="1"/>
    <col min="20" max="20" width="31" style="473" hidden="1" customWidth="1"/>
    <col min="21" max="21" width="23" style="473" hidden="1" customWidth="1"/>
    <col min="22" max="22" width="13.81640625" style="473" hidden="1" customWidth="1"/>
    <col min="23" max="23" width="30.26953125" style="473" hidden="1" customWidth="1"/>
    <col min="24" max="24" width="26.26953125" style="473" hidden="1" customWidth="1"/>
    <col min="25" max="25" width="11.54296875" style="473" hidden="1" customWidth="1"/>
    <col min="26" max="27" width="7.81640625" style="473" hidden="1" customWidth="1"/>
    <col min="28" max="28" width="46.81640625" style="177" hidden="1" customWidth="1"/>
    <col min="29" max="29" width="13.1796875" style="177" hidden="1" customWidth="1"/>
    <col min="30" max="30" width="52.7265625" style="177" hidden="1" customWidth="1"/>
    <col min="31" max="31" width="15.1796875" style="760" hidden="1" customWidth="1"/>
    <col min="32" max="32" width="14.1796875" style="760" hidden="1" customWidth="1"/>
    <col min="33" max="36" width="12.1796875" style="760" hidden="1" customWidth="1"/>
    <col min="37" max="38" width="9.1796875" style="760" hidden="1" customWidth="1"/>
    <col min="39" max="49" width="9.1796875" style="177" hidden="1" customWidth="1"/>
    <col min="50" max="50" width="20.81640625" style="177" hidden="1" customWidth="1"/>
    <col min="51" max="53" width="9.1796875" style="177" hidden="1" customWidth="1"/>
    <col min="54" max="65" width="9.1796875" style="281" customWidth="1"/>
    <col min="66" max="85" width="9.1796875" style="250" customWidth="1"/>
    <col min="86" max="90" width="9.1796875" style="281" customWidth="1"/>
    <col min="91" max="104" width="9.1796875" style="250" customWidth="1"/>
    <col min="105" max="257" width="9.1796875" style="281" customWidth="1"/>
    <col min="258" max="258" width="28" style="281" customWidth="1"/>
    <col min="259" max="259" width="28.26953125" style="281" customWidth="1"/>
    <col min="260" max="260" width="11.26953125" style="281" customWidth="1"/>
    <col min="261" max="261" width="28.26953125" style="281" customWidth="1"/>
    <col min="262" max="262" width="8.26953125" style="281" customWidth="1"/>
    <col min="263" max="263" width="25.81640625" style="281" customWidth="1"/>
    <col min="264" max="264" width="23.7265625" style="281" customWidth="1"/>
    <col min="265" max="265" width="28.26953125" style="281" customWidth="1"/>
    <col min="266" max="266" width="5.54296875" style="281" customWidth="1"/>
    <col min="267" max="267" width="28.26953125" style="281" customWidth="1"/>
    <col min="268" max="268" width="2.81640625" style="281" customWidth="1"/>
    <col min="269" max="269" width="2.26953125" style="281" customWidth="1"/>
    <col min="270" max="373" width="9.1796875" style="281" hidden="1" customWidth="1"/>
    <col min="374" max="513" width="9.1796875" style="281" hidden="1"/>
    <col min="514" max="514" width="28" style="281" customWidth="1"/>
    <col min="515" max="515" width="28.26953125" style="281" customWidth="1"/>
    <col min="516" max="516" width="11.26953125" style="281" customWidth="1"/>
    <col min="517" max="517" width="28.26953125" style="281" customWidth="1"/>
    <col min="518" max="518" width="8.26953125" style="281" customWidth="1"/>
    <col min="519" max="519" width="25.81640625" style="281" customWidth="1"/>
    <col min="520" max="520" width="23.7265625" style="281" customWidth="1"/>
    <col min="521" max="521" width="28.26953125" style="281" customWidth="1"/>
    <col min="522" max="522" width="5.54296875" style="281" customWidth="1"/>
    <col min="523" max="523" width="28.26953125" style="281" customWidth="1"/>
    <col min="524" max="524" width="2.81640625" style="281" customWidth="1"/>
    <col min="525" max="525" width="2.26953125" style="281" customWidth="1"/>
    <col min="526" max="629" width="9.1796875" style="281" hidden="1" customWidth="1"/>
    <col min="630" max="769" width="9.1796875" style="281" hidden="1"/>
    <col min="770" max="770" width="28" style="281" customWidth="1"/>
    <col min="771" max="771" width="28.26953125" style="281" customWidth="1"/>
    <col min="772" max="772" width="11.26953125" style="281" customWidth="1"/>
    <col min="773" max="773" width="28.26953125" style="281" customWidth="1"/>
    <col min="774" max="774" width="8.26953125" style="281" customWidth="1"/>
    <col min="775" max="775" width="25.81640625" style="281" customWidth="1"/>
    <col min="776" max="776" width="23.7265625" style="281" customWidth="1"/>
    <col min="777" max="777" width="28.26953125" style="281" customWidth="1"/>
    <col min="778" max="778" width="5.54296875" style="281" customWidth="1"/>
    <col min="779" max="779" width="28.26953125" style="281" customWidth="1"/>
    <col min="780" max="780" width="2.81640625" style="281" customWidth="1"/>
    <col min="781" max="781" width="2.26953125" style="281" customWidth="1"/>
    <col min="782" max="885" width="9.1796875" style="281" hidden="1" customWidth="1"/>
    <col min="886" max="1025" width="9.1796875" style="281" hidden="1"/>
    <col min="1026" max="1026" width="28" style="281" customWidth="1"/>
    <col min="1027" max="1027" width="28.26953125" style="281" customWidth="1"/>
    <col min="1028" max="1028" width="11.26953125" style="281" customWidth="1"/>
    <col min="1029" max="1029" width="28.26953125" style="281" customWidth="1"/>
    <col min="1030" max="1030" width="8.26953125" style="281" customWidth="1"/>
    <col min="1031" max="1031" width="25.81640625" style="281" customWidth="1"/>
    <col min="1032" max="1032" width="23.7265625" style="281" customWidth="1"/>
    <col min="1033" max="1033" width="28.26953125" style="281" customWidth="1"/>
    <col min="1034" max="1034" width="5.54296875" style="281" customWidth="1"/>
    <col min="1035" max="1035" width="28.26953125" style="281" customWidth="1"/>
    <col min="1036" max="1036" width="2.81640625" style="281" customWidth="1"/>
    <col min="1037" max="1037" width="2.26953125" style="281" customWidth="1"/>
    <col min="1038" max="1141" width="9.1796875" style="281" hidden="1" customWidth="1"/>
    <col min="1142" max="1281" width="9.1796875" style="281" hidden="1"/>
    <col min="1282" max="1282" width="28" style="281" customWidth="1"/>
    <col min="1283" max="1283" width="28.26953125" style="281" customWidth="1"/>
    <col min="1284" max="1284" width="11.26953125" style="281" customWidth="1"/>
    <col min="1285" max="1285" width="28.26953125" style="281" customWidth="1"/>
    <col min="1286" max="1286" width="8.26953125" style="281" customWidth="1"/>
    <col min="1287" max="1287" width="25.81640625" style="281" customWidth="1"/>
    <col min="1288" max="1288" width="23.7265625" style="281" customWidth="1"/>
    <col min="1289" max="1289" width="28.26953125" style="281" customWidth="1"/>
    <col min="1290" max="1290" width="5.54296875" style="281" customWidth="1"/>
    <col min="1291" max="1291" width="28.26953125" style="281" customWidth="1"/>
    <col min="1292" max="1292" width="2.81640625" style="281" customWidth="1"/>
    <col min="1293" max="1293" width="2.26953125" style="281" customWidth="1"/>
    <col min="1294" max="1397" width="9.1796875" style="281" hidden="1" customWidth="1"/>
    <col min="1398" max="1537" width="9.1796875" style="281" hidden="1"/>
    <col min="1538" max="1538" width="28" style="281" customWidth="1"/>
    <col min="1539" max="1539" width="28.26953125" style="281" customWidth="1"/>
    <col min="1540" max="1540" width="11.26953125" style="281" customWidth="1"/>
    <col min="1541" max="1541" width="28.26953125" style="281" customWidth="1"/>
    <col min="1542" max="1542" width="8.26953125" style="281" customWidth="1"/>
    <col min="1543" max="1543" width="25.81640625" style="281" customWidth="1"/>
    <col min="1544" max="1544" width="23.7265625" style="281" customWidth="1"/>
    <col min="1545" max="1545" width="28.26953125" style="281" customWidth="1"/>
    <col min="1546" max="1546" width="5.54296875" style="281" customWidth="1"/>
    <col min="1547" max="1547" width="28.26953125" style="281" customWidth="1"/>
    <col min="1548" max="1548" width="2.81640625" style="281" customWidth="1"/>
    <col min="1549" max="1549" width="2.26953125" style="281" customWidth="1"/>
    <col min="1550" max="1653" width="9.1796875" style="281" hidden="1" customWidth="1"/>
    <col min="1654" max="1793" width="9.1796875" style="281" hidden="1"/>
    <col min="1794" max="1794" width="28" style="281" customWidth="1"/>
    <col min="1795" max="1795" width="28.26953125" style="281" customWidth="1"/>
    <col min="1796" max="1796" width="11.26953125" style="281" customWidth="1"/>
    <col min="1797" max="1797" width="28.26953125" style="281" customWidth="1"/>
    <col min="1798" max="1798" width="8.26953125" style="281" customWidth="1"/>
    <col min="1799" max="1799" width="25.81640625" style="281" customWidth="1"/>
    <col min="1800" max="1800" width="23.7265625" style="281" customWidth="1"/>
    <col min="1801" max="1801" width="28.26953125" style="281" customWidth="1"/>
    <col min="1802" max="1802" width="5.54296875" style="281" customWidth="1"/>
    <col min="1803" max="1803" width="28.26953125" style="281" customWidth="1"/>
    <col min="1804" max="1804" width="2.81640625" style="281" customWidth="1"/>
    <col min="1805" max="1805" width="2.26953125" style="281" customWidth="1"/>
    <col min="1806" max="1909" width="9.1796875" style="281" hidden="1" customWidth="1"/>
    <col min="1910" max="2049" width="9.1796875" style="281" hidden="1"/>
    <col min="2050" max="2050" width="28" style="281" customWidth="1"/>
    <col min="2051" max="2051" width="28.26953125" style="281" customWidth="1"/>
    <col min="2052" max="2052" width="11.26953125" style="281" customWidth="1"/>
    <col min="2053" max="2053" width="28.26953125" style="281" customWidth="1"/>
    <col min="2054" max="2054" width="8.26953125" style="281" customWidth="1"/>
    <col min="2055" max="2055" width="25.81640625" style="281" customWidth="1"/>
    <col min="2056" max="2056" width="23.7265625" style="281" customWidth="1"/>
    <col min="2057" max="2057" width="28.26953125" style="281" customWidth="1"/>
    <col min="2058" max="2058" width="5.54296875" style="281" customWidth="1"/>
    <col min="2059" max="2059" width="28.26953125" style="281" customWidth="1"/>
    <col min="2060" max="2060" width="2.81640625" style="281" customWidth="1"/>
    <col min="2061" max="2061" width="2.26953125" style="281" customWidth="1"/>
    <col min="2062" max="2165" width="9.1796875" style="281" hidden="1" customWidth="1"/>
    <col min="2166" max="2305" width="9.1796875" style="281" hidden="1"/>
    <col min="2306" max="2306" width="28" style="281" customWidth="1"/>
    <col min="2307" max="2307" width="28.26953125" style="281" customWidth="1"/>
    <col min="2308" max="2308" width="11.26953125" style="281" customWidth="1"/>
    <col min="2309" max="2309" width="28.26953125" style="281" customWidth="1"/>
    <col min="2310" max="2310" width="8.26953125" style="281" customWidth="1"/>
    <col min="2311" max="2311" width="25.81640625" style="281" customWidth="1"/>
    <col min="2312" max="2312" width="23.7265625" style="281" customWidth="1"/>
    <col min="2313" max="2313" width="28.26953125" style="281" customWidth="1"/>
    <col min="2314" max="2314" width="5.54296875" style="281" customWidth="1"/>
    <col min="2315" max="2315" width="28.26953125" style="281" customWidth="1"/>
    <col min="2316" max="2316" width="2.81640625" style="281" customWidth="1"/>
    <col min="2317" max="2317" width="2.26953125" style="281" customWidth="1"/>
    <col min="2318" max="2421" width="9.1796875" style="281" hidden="1" customWidth="1"/>
    <col min="2422" max="2561" width="9.1796875" style="281" hidden="1"/>
    <col min="2562" max="2562" width="28" style="281" customWidth="1"/>
    <col min="2563" max="2563" width="28.26953125" style="281" customWidth="1"/>
    <col min="2564" max="2564" width="11.26953125" style="281" customWidth="1"/>
    <col min="2565" max="2565" width="28.26953125" style="281" customWidth="1"/>
    <col min="2566" max="2566" width="8.26953125" style="281" customWidth="1"/>
    <col min="2567" max="2567" width="25.81640625" style="281" customWidth="1"/>
    <col min="2568" max="2568" width="23.7265625" style="281" customWidth="1"/>
    <col min="2569" max="2569" width="28.26953125" style="281" customWidth="1"/>
    <col min="2570" max="2570" width="5.54296875" style="281" customWidth="1"/>
    <col min="2571" max="2571" width="28.26953125" style="281" customWidth="1"/>
    <col min="2572" max="2572" width="2.81640625" style="281" customWidth="1"/>
    <col min="2573" max="2573" width="2.26953125" style="281" customWidth="1"/>
    <col min="2574" max="2677" width="9.1796875" style="281" hidden="1" customWidth="1"/>
    <col min="2678" max="2817" width="9.1796875" style="281" hidden="1"/>
    <col min="2818" max="2818" width="28" style="281" customWidth="1"/>
    <col min="2819" max="2819" width="28.26953125" style="281" customWidth="1"/>
    <col min="2820" max="2820" width="11.26953125" style="281" customWidth="1"/>
    <col min="2821" max="2821" width="28.26953125" style="281" customWidth="1"/>
    <col min="2822" max="2822" width="8.26953125" style="281" customWidth="1"/>
    <col min="2823" max="2823" width="25.81640625" style="281" customWidth="1"/>
    <col min="2824" max="2824" width="23.7265625" style="281" customWidth="1"/>
    <col min="2825" max="2825" width="28.26953125" style="281" customWidth="1"/>
    <col min="2826" max="2826" width="5.54296875" style="281" customWidth="1"/>
    <col min="2827" max="2827" width="28.26953125" style="281" customWidth="1"/>
    <col min="2828" max="2828" width="2.81640625" style="281" customWidth="1"/>
    <col min="2829" max="2829" width="2.26953125" style="281" customWidth="1"/>
    <col min="2830" max="2933" width="9.1796875" style="281" hidden="1" customWidth="1"/>
    <col min="2934" max="3073" width="9.1796875" style="281" hidden="1"/>
    <col min="3074" max="3074" width="28" style="281" customWidth="1"/>
    <col min="3075" max="3075" width="28.26953125" style="281" customWidth="1"/>
    <col min="3076" max="3076" width="11.26953125" style="281" customWidth="1"/>
    <col min="3077" max="3077" width="28.26953125" style="281" customWidth="1"/>
    <col min="3078" max="3078" width="8.26953125" style="281" customWidth="1"/>
    <col min="3079" max="3079" width="25.81640625" style="281" customWidth="1"/>
    <col min="3080" max="3080" width="23.7265625" style="281" customWidth="1"/>
    <col min="3081" max="3081" width="28.26953125" style="281" customWidth="1"/>
    <col min="3082" max="3082" width="5.54296875" style="281" customWidth="1"/>
    <col min="3083" max="3083" width="28.26953125" style="281" customWidth="1"/>
    <col min="3084" max="3084" width="2.81640625" style="281" customWidth="1"/>
    <col min="3085" max="3085" width="2.26953125" style="281" customWidth="1"/>
    <col min="3086" max="3189" width="9.1796875" style="281" hidden="1" customWidth="1"/>
    <col min="3190" max="3329" width="9.1796875" style="281" hidden="1"/>
    <col min="3330" max="3330" width="28" style="281" customWidth="1"/>
    <col min="3331" max="3331" width="28.26953125" style="281" customWidth="1"/>
    <col min="3332" max="3332" width="11.26953125" style="281" customWidth="1"/>
    <col min="3333" max="3333" width="28.26953125" style="281" customWidth="1"/>
    <col min="3334" max="3334" width="8.26953125" style="281" customWidth="1"/>
    <col min="3335" max="3335" width="25.81640625" style="281" customWidth="1"/>
    <col min="3336" max="3336" width="23.7265625" style="281" customWidth="1"/>
    <col min="3337" max="3337" width="28.26953125" style="281" customWidth="1"/>
    <col min="3338" max="3338" width="5.54296875" style="281" customWidth="1"/>
    <col min="3339" max="3339" width="28.26953125" style="281" customWidth="1"/>
    <col min="3340" max="3340" width="2.81640625" style="281" customWidth="1"/>
    <col min="3341" max="3341" width="2.26953125" style="281" customWidth="1"/>
    <col min="3342" max="3445" width="9.1796875" style="281" hidden="1" customWidth="1"/>
    <col min="3446" max="3585" width="9.1796875" style="281" hidden="1"/>
    <col min="3586" max="3586" width="28" style="281" customWidth="1"/>
    <col min="3587" max="3587" width="28.26953125" style="281" customWidth="1"/>
    <col min="3588" max="3588" width="11.26953125" style="281" customWidth="1"/>
    <col min="3589" max="3589" width="28.26953125" style="281" customWidth="1"/>
    <col min="3590" max="3590" width="8.26953125" style="281" customWidth="1"/>
    <col min="3591" max="3591" width="25.81640625" style="281" customWidth="1"/>
    <col min="3592" max="3592" width="23.7265625" style="281" customWidth="1"/>
    <col min="3593" max="3593" width="28.26953125" style="281" customWidth="1"/>
    <col min="3594" max="3594" width="5.54296875" style="281" customWidth="1"/>
    <col min="3595" max="3595" width="28.26953125" style="281" customWidth="1"/>
    <col min="3596" max="3596" width="2.81640625" style="281" customWidth="1"/>
    <col min="3597" max="3597" width="2.26953125" style="281" customWidth="1"/>
    <col min="3598" max="3701" width="9.1796875" style="281" hidden="1" customWidth="1"/>
    <col min="3702" max="3841" width="9.1796875" style="281" hidden="1"/>
    <col min="3842" max="3842" width="28" style="281" customWidth="1"/>
    <col min="3843" max="3843" width="28.26953125" style="281" customWidth="1"/>
    <col min="3844" max="3844" width="11.26953125" style="281" customWidth="1"/>
    <col min="3845" max="3845" width="28.26953125" style="281" customWidth="1"/>
    <col min="3846" max="3846" width="8.26953125" style="281" customWidth="1"/>
    <col min="3847" max="3847" width="25.81640625" style="281" customWidth="1"/>
    <col min="3848" max="3848" width="23.7265625" style="281" customWidth="1"/>
    <col min="3849" max="3849" width="28.26953125" style="281" customWidth="1"/>
    <col min="3850" max="3850" width="5.54296875" style="281" customWidth="1"/>
    <col min="3851" max="3851" width="28.26953125" style="281" customWidth="1"/>
    <col min="3852" max="3852" width="2.81640625" style="281" customWidth="1"/>
    <col min="3853" max="3853" width="2.26953125" style="281" customWidth="1"/>
    <col min="3854" max="3957" width="9.1796875" style="281" hidden="1" customWidth="1"/>
    <col min="3958" max="4097" width="9.1796875" style="281" hidden="1"/>
    <col min="4098" max="4098" width="28" style="281" customWidth="1"/>
    <col min="4099" max="4099" width="28.26953125" style="281" customWidth="1"/>
    <col min="4100" max="4100" width="11.26953125" style="281" customWidth="1"/>
    <col min="4101" max="4101" width="28.26953125" style="281" customWidth="1"/>
    <col min="4102" max="4102" width="8.26953125" style="281" customWidth="1"/>
    <col min="4103" max="4103" width="25.81640625" style="281" customWidth="1"/>
    <col min="4104" max="4104" width="23.7265625" style="281" customWidth="1"/>
    <col min="4105" max="4105" width="28.26953125" style="281" customWidth="1"/>
    <col min="4106" max="4106" width="5.54296875" style="281" customWidth="1"/>
    <col min="4107" max="4107" width="28.26953125" style="281" customWidth="1"/>
    <col min="4108" max="4108" width="2.81640625" style="281" customWidth="1"/>
    <col min="4109" max="4109" width="2.26953125" style="281" customWidth="1"/>
    <col min="4110" max="4213" width="9.1796875" style="281" hidden="1" customWidth="1"/>
    <col min="4214" max="4353" width="9.1796875" style="281" hidden="1"/>
    <col min="4354" max="4354" width="28" style="281" customWidth="1"/>
    <col min="4355" max="4355" width="28.26953125" style="281" customWidth="1"/>
    <col min="4356" max="4356" width="11.26953125" style="281" customWidth="1"/>
    <col min="4357" max="4357" width="28.26953125" style="281" customWidth="1"/>
    <col min="4358" max="4358" width="8.26953125" style="281" customWidth="1"/>
    <col min="4359" max="4359" width="25.81640625" style="281" customWidth="1"/>
    <col min="4360" max="4360" width="23.7265625" style="281" customWidth="1"/>
    <col min="4361" max="4361" width="28.26953125" style="281" customWidth="1"/>
    <col min="4362" max="4362" width="5.54296875" style="281" customWidth="1"/>
    <col min="4363" max="4363" width="28.26953125" style="281" customWidth="1"/>
    <col min="4364" max="4364" width="2.81640625" style="281" customWidth="1"/>
    <col min="4365" max="4365" width="2.26953125" style="281" customWidth="1"/>
    <col min="4366" max="4469" width="9.1796875" style="281" hidden="1" customWidth="1"/>
    <col min="4470" max="4609" width="9.1796875" style="281" hidden="1"/>
    <col min="4610" max="4610" width="28" style="281" customWidth="1"/>
    <col min="4611" max="4611" width="28.26953125" style="281" customWidth="1"/>
    <col min="4612" max="4612" width="11.26953125" style="281" customWidth="1"/>
    <col min="4613" max="4613" width="28.26953125" style="281" customWidth="1"/>
    <col min="4614" max="4614" width="8.26953125" style="281" customWidth="1"/>
    <col min="4615" max="4615" width="25.81640625" style="281" customWidth="1"/>
    <col min="4616" max="4616" width="23.7265625" style="281" customWidth="1"/>
    <col min="4617" max="4617" width="28.26953125" style="281" customWidth="1"/>
    <col min="4618" max="4618" width="5.54296875" style="281" customWidth="1"/>
    <col min="4619" max="4619" width="28.26953125" style="281" customWidth="1"/>
    <col min="4620" max="4620" width="2.81640625" style="281" customWidth="1"/>
    <col min="4621" max="4621" width="2.26953125" style="281" customWidth="1"/>
    <col min="4622" max="4725" width="9.1796875" style="281" hidden="1" customWidth="1"/>
    <col min="4726" max="4865" width="9.1796875" style="281" hidden="1"/>
    <col min="4866" max="4866" width="28" style="281" customWidth="1"/>
    <col min="4867" max="4867" width="28.26953125" style="281" customWidth="1"/>
    <col min="4868" max="4868" width="11.26953125" style="281" customWidth="1"/>
    <col min="4869" max="4869" width="28.26953125" style="281" customWidth="1"/>
    <col min="4870" max="4870" width="8.26953125" style="281" customWidth="1"/>
    <col min="4871" max="4871" width="25.81640625" style="281" customWidth="1"/>
    <col min="4872" max="4872" width="23.7265625" style="281" customWidth="1"/>
    <col min="4873" max="4873" width="28.26953125" style="281" customWidth="1"/>
    <col min="4874" max="4874" width="5.54296875" style="281" customWidth="1"/>
    <col min="4875" max="4875" width="28.26953125" style="281" customWidth="1"/>
    <col min="4876" max="4876" width="2.81640625" style="281" customWidth="1"/>
    <col min="4877" max="4877" width="2.26953125" style="281" customWidth="1"/>
    <col min="4878" max="4981" width="9.1796875" style="281" hidden="1" customWidth="1"/>
    <col min="4982" max="5121" width="9.1796875" style="281" hidden="1"/>
    <col min="5122" max="5122" width="28" style="281" customWidth="1"/>
    <col min="5123" max="5123" width="28.26953125" style="281" customWidth="1"/>
    <col min="5124" max="5124" width="11.26953125" style="281" customWidth="1"/>
    <col min="5125" max="5125" width="28.26953125" style="281" customWidth="1"/>
    <col min="5126" max="5126" width="8.26953125" style="281" customWidth="1"/>
    <col min="5127" max="5127" width="25.81640625" style="281" customWidth="1"/>
    <col min="5128" max="5128" width="23.7265625" style="281" customWidth="1"/>
    <col min="5129" max="5129" width="28.26953125" style="281" customWidth="1"/>
    <col min="5130" max="5130" width="5.54296875" style="281" customWidth="1"/>
    <col min="5131" max="5131" width="28.26953125" style="281" customWidth="1"/>
    <col min="5132" max="5132" width="2.81640625" style="281" customWidth="1"/>
    <col min="5133" max="5133" width="2.26953125" style="281" customWidth="1"/>
    <col min="5134" max="5237" width="9.1796875" style="281" hidden="1" customWidth="1"/>
    <col min="5238" max="5377" width="9.1796875" style="281" hidden="1"/>
    <col min="5378" max="5378" width="28" style="281" customWidth="1"/>
    <col min="5379" max="5379" width="28.26953125" style="281" customWidth="1"/>
    <col min="5380" max="5380" width="11.26953125" style="281" customWidth="1"/>
    <col min="5381" max="5381" width="28.26953125" style="281" customWidth="1"/>
    <col min="5382" max="5382" width="8.26953125" style="281" customWidth="1"/>
    <col min="5383" max="5383" width="25.81640625" style="281" customWidth="1"/>
    <col min="5384" max="5384" width="23.7265625" style="281" customWidth="1"/>
    <col min="5385" max="5385" width="28.26953125" style="281" customWidth="1"/>
    <col min="5386" max="5386" width="5.54296875" style="281" customWidth="1"/>
    <col min="5387" max="5387" width="28.26953125" style="281" customWidth="1"/>
    <col min="5388" max="5388" width="2.81640625" style="281" customWidth="1"/>
    <col min="5389" max="5389" width="2.26953125" style="281" customWidth="1"/>
    <col min="5390" max="5493" width="9.1796875" style="281" hidden="1" customWidth="1"/>
    <col min="5494" max="5633" width="9.1796875" style="281" hidden="1"/>
    <col min="5634" max="5634" width="28" style="281" customWidth="1"/>
    <col min="5635" max="5635" width="28.26953125" style="281" customWidth="1"/>
    <col min="5636" max="5636" width="11.26953125" style="281" customWidth="1"/>
    <col min="5637" max="5637" width="28.26953125" style="281" customWidth="1"/>
    <col min="5638" max="5638" width="8.26953125" style="281" customWidth="1"/>
    <col min="5639" max="5639" width="25.81640625" style="281" customWidth="1"/>
    <col min="5640" max="5640" width="23.7265625" style="281" customWidth="1"/>
    <col min="5641" max="5641" width="28.26953125" style="281" customWidth="1"/>
    <col min="5642" max="5642" width="5.54296875" style="281" customWidth="1"/>
    <col min="5643" max="5643" width="28.26953125" style="281" customWidth="1"/>
    <col min="5644" max="5644" width="2.81640625" style="281" customWidth="1"/>
    <col min="5645" max="5645" width="2.26953125" style="281" customWidth="1"/>
    <col min="5646" max="5749" width="9.1796875" style="281" hidden="1" customWidth="1"/>
    <col min="5750" max="5889" width="9.1796875" style="281" hidden="1"/>
    <col min="5890" max="5890" width="28" style="281" customWidth="1"/>
    <col min="5891" max="5891" width="28.26953125" style="281" customWidth="1"/>
    <col min="5892" max="5892" width="11.26953125" style="281" customWidth="1"/>
    <col min="5893" max="5893" width="28.26953125" style="281" customWidth="1"/>
    <col min="5894" max="5894" width="8.26953125" style="281" customWidth="1"/>
    <col min="5895" max="5895" width="25.81640625" style="281" customWidth="1"/>
    <col min="5896" max="5896" width="23.7265625" style="281" customWidth="1"/>
    <col min="5897" max="5897" width="28.26953125" style="281" customWidth="1"/>
    <col min="5898" max="5898" width="5.54296875" style="281" customWidth="1"/>
    <col min="5899" max="5899" width="28.26953125" style="281" customWidth="1"/>
    <col min="5900" max="5900" width="2.81640625" style="281" customWidth="1"/>
    <col min="5901" max="5901" width="2.26953125" style="281" customWidth="1"/>
    <col min="5902" max="6005" width="9.1796875" style="281" hidden="1" customWidth="1"/>
    <col min="6006" max="6145" width="9.1796875" style="281" hidden="1"/>
    <col min="6146" max="6146" width="28" style="281" customWidth="1"/>
    <col min="6147" max="6147" width="28.26953125" style="281" customWidth="1"/>
    <col min="6148" max="6148" width="11.26953125" style="281" customWidth="1"/>
    <col min="6149" max="6149" width="28.26953125" style="281" customWidth="1"/>
    <col min="6150" max="6150" width="8.26953125" style="281" customWidth="1"/>
    <col min="6151" max="6151" width="25.81640625" style="281" customWidth="1"/>
    <col min="6152" max="6152" width="23.7265625" style="281" customWidth="1"/>
    <col min="6153" max="6153" width="28.26953125" style="281" customWidth="1"/>
    <col min="6154" max="6154" width="5.54296875" style="281" customWidth="1"/>
    <col min="6155" max="6155" width="28.26953125" style="281" customWidth="1"/>
    <col min="6156" max="6156" width="2.81640625" style="281" customWidth="1"/>
    <col min="6157" max="6157" width="2.26953125" style="281" customWidth="1"/>
    <col min="6158" max="6261" width="9.1796875" style="281" hidden="1" customWidth="1"/>
    <col min="6262" max="6401" width="9.1796875" style="281" hidden="1"/>
    <col min="6402" max="6402" width="28" style="281" customWidth="1"/>
    <col min="6403" max="6403" width="28.26953125" style="281" customWidth="1"/>
    <col min="6404" max="6404" width="11.26953125" style="281" customWidth="1"/>
    <col min="6405" max="6405" width="28.26953125" style="281" customWidth="1"/>
    <col min="6406" max="6406" width="8.26953125" style="281" customWidth="1"/>
    <col min="6407" max="6407" width="25.81640625" style="281" customWidth="1"/>
    <col min="6408" max="6408" width="23.7265625" style="281" customWidth="1"/>
    <col min="6409" max="6409" width="28.26953125" style="281" customWidth="1"/>
    <col min="6410" max="6410" width="5.54296875" style="281" customWidth="1"/>
    <col min="6411" max="6411" width="28.26953125" style="281" customWidth="1"/>
    <col min="6412" max="6412" width="2.81640625" style="281" customWidth="1"/>
    <col min="6413" max="6413" width="2.26953125" style="281" customWidth="1"/>
    <col min="6414" max="6517" width="9.1796875" style="281" hidden="1" customWidth="1"/>
    <col min="6518" max="6657" width="9.1796875" style="281" hidden="1"/>
    <col min="6658" max="6658" width="28" style="281" customWidth="1"/>
    <col min="6659" max="6659" width="28.26953125" style="281" customWidth="1"/>
    <col min="6660" max="6660" width="11.26953125" style="281" customWidth="1"/>
    <col min="6661" max="6661" width="28.26953125" style="281" customWidth="1"/>
    <col min="6662" max="6662" width="8.26953125" style="281" customWidth="1"/>
    <col min="6663" max="6663" width="25.81640625" style="281" customWidth="1"/>
    <col min="6664" max="6664" width="23.7265625" style="281" customWidth="1"/>
    <col min="6665" max="6665" width="28.26953125" style="281" customWidth="1"/>
    <col min="6666" max="6666" width="5.54296875" style="281" customWidth="1"/>
    <col min="6667" max="6667" width="28.26953125" style="281" customWidth="1"/>
    <col min="6668" max="6668" width="2.81640625" style="281" customWidth="1"/>
    <col min="6669" max="6669" width="2.26953125" style="281" customWidth="1"/>
    <col min="6670" max="6773" width="9.1796875" style="281" hidden="1" customWidth="1"/>
    <col min="6774" max="6913" width="9.1796875" style="281" hidden="1"/>
    <col min="6914" max="6914" width="28" style="281" customWidth="1"/>
    <col min="6915" max="6915" width="28.26953125" style="281" customWidth="1"/>
    <col min="6916" max="6916" width="11.26953125" style="281" customWidth="1"/>
    <col min="6917" max="6917" width="28.26953125" style="281" customWidth="1"/>
    <col min="6918" max="6918" width="8.26953125" style="281" customWidth="1"/>
    <col min="6919" max="6919" width="25.81640625" style="281" customWidth="1"/>
    <col min="6920" max="6920" width="23.7265625" style="281" customWidth="1"/>
    <col min="6921" max="6921" width="28.26953125" style="281" customWidth="1"/>
    <col min="6922" max="6922" width="5.54296875" style="281" customWidth="1"/>
    <col min="6923" max="6923" width="28.26953125" style="281" customWidth="1"/>
    <col min="6924" max="6924" width="2.81640625" style="281" customWidth="1"/>
    <col min="6925" max="6925" width="2.26953125" style="281" customWidth="1"/>
    <col min="6926" max="7029" width="9.1796875" style="281" hidden="1" customWidth="1"/>
    <col min="7030" max="7169" width="9.1796875" style="281" hidden="1"/>
    <col min="7170" max="7170" width="28" style="281" customWidth="1"/>
    <col min="7171" max="7171" width="28.26953125" style="281" customWidth="1"/>
    <col min="7172" max="7172" width="11.26953125" style="281" customWidth="1"/>
    <col min="7173" max="7173" width="28.26953125" style="281" customWidth="1"/>
    <col min="7174" max="7174" width="8.26953125" style="281" customWidth="1"/>
    <col min="7175" max="7175" width="25.81640625" style="281" customWidth="1"/>
    <col min="7176" max="7176" width="23.7265625" style="281" customWidth="1"/>
    <col min="7177" max="7177" width="28.26953125" style="281" customWidth="1"/>
    <col min="7178" max="7178" width="5.54296875" style="281" customWidth="1"/>
    <col min="7179" max="7179" width="28.26953125" style="281" customWidth="1"/>
    <col min="7180" max="7180" width="2.81640625" style="281" customWidth="1"/>
    <col min="7181" max="7181" width="2.26953125" style="281" customWidth="1"/>
    <col min="7182" max="7285" width="9.1796875" style="281" hidden="1" customWidth="1"/>
    <col min="7286" max="7425" width="9.1796875" style="281" hidden="1"/>
    <col min="7426" max="7426" width="28" style="281" customWidth="1"/>
    <col min="7427" max="7427" width="28.26953125" style="281" customWidth="1"/>
    <col min="7428" max="7428" width="11.26953125" style="281" customWidth="1"/>
    <col min="7429" max="7429" width="28.26953125" style="281" customWidth="1"/>
    <col min="7430" max="7430" width="8.26953125" style="281" customWidth="1"/>
    <col min="7431" max="7431" width="25.81640625" style="281" customWidth="1"/>
    <col min="7432" max="7432" width="23.7265625" style="281" customWidth="1"/>
    <col min="7433" max="7433" width="28.26953125" style="281" customWidth="1"/>
    <col min="7434" max="7434" width="5.54296875" style="281" customWidth="1"/>
    <col min="7435" max="7435" width="28.26953125" style="281" customWidth="1"/>
    <col min="7436" max="7436" width="2.81640625" style="281" customWidth="1"/>
    <col min="7437" max="7437" width="2.26953125" style="281" customWidth="1"/>
    <col min="7438" max="7541" width="9.1796875" style="281" hidden="1" customWidth="1"/>
    <col min="7542" max="7681" width="9.1796875" style="281" hidden="1"/>
    <col min="7682" max="7682" width="28" style="281" customWidth="1"/>
    <col min="7683" max="7683" width="28.26953125" style="281" customWidth="1"/>
    <col min="7684" max="7684" width="11.26953125" style="281" customWidth="1"/>
    <col min="7685" max="7685" width="28.26953125" style="281" customWidth="1"/>
    <col min="7686" max="7686" width="8.26953125" style="281" customWidth="1"/>
    <col min="7687" max="7687" width="25.81640625" style="281" customWidth="1"/>
    <col min="7688" max="7688" width="23.7265625" style="281" customWidth="1"/>
    <col min="7689" max="7689" width="28.26953125" style="281" customWidth="1"/>
    <col min="7690" max="7690" width="5.54296875" style="281" customWidth="1"/>
    <col min="7691" max="7691" width="28.26953125" style="281" customWidth="1"/>
    <col min="7692" max="7692" width="2.81640625" style="281" customWidth="1"/>
    <col min="7693" max="7693" width="2.26953125" style="281" customWidth="1"/>
    <col min="7694" max="7797" width="9.1796875" style="281" hidden="1" customWidth="1"/>
    <col min="7798" max="7937" width="9.1796875" style="281" hidden="1"/>
    <col min="7938" max="7938" width="28" style="281" customWidth="1"/>
    <col min="7939" max="7939" width="28.26953125" style="281" customWidth="1"/>
    <col min="7940" max="7940" width="11.26953125" style="281" customWidth="1"/>
    <col min="7941" max="7941" width="28.26953125" style="281" customWidth="1"/>
    <col min="7942" max="7942" width="8.26953125" style="281" customWidth="1"/>
    <col min="7943" max="7943" width="25.81640625" style="281" customWidth="1"/>
    <col min="7944" max="7944" width="23.7265625" style="281" customWidth="1"/>
    <col min="7945" max="7945" width="28.26953125" style="281" customWidth="1"/>
    <col min="7946" max="7946" width="5.54296875" style="281" customWidth="1"/>
    <col min="7947" max="7947" width="28.26953125" style="281" customWidth="1"/>
    <col min="7948" max="7948" width="2.81640625" style="281" customWidth="1"/>
    <col min="7949" max="7949" width="2.26953125" style="281" customWidth="1"/>
    <col min="7950" max="8053" width="9.1796875" style="281" hidden="1" customWidth="1"/>
    <col min="8054" max="8193" width="9.1796875" style="281" hidden="1"/>
    <col min="8194" max="8194" width="28" style="281" customWidth="1"/>
    <col min="8195" max="8195" width="28.26953125" style="281" customWidth="1"/>
    <col min="8196" max="8196" width="11.26953125" style="281" customWidth="1"/>
    <col min="8197" max="8197" width="28.26953125" style="281" customWidth="1"/>
    <col min="8198" max="8198" width="8.26953125" style="281" customWidth="1"/>
    <col min="8199" max="8199" width="25.81640625" style="281" customWidth="1"/>
    <col min="8200" max="8200" width="23.7265625" style="281" customWidth="1"/>
    <col min="8201" max="8201" width="28.26953125" style="281" customWidth="1"/>
    <col min="8202" max="8202" width="5.54296875" style="281" customWidth="1"/>
    <col min="8203" max="8203" width="28.26953125" style="281" customWidth="1"/>
    <col min="8204" max="8204" width="2.81640625" style="281" customWidth="1"/>
    <col min="8205" max="8205" width="2.26953125" style="281" customWidth="1"/>
    <col min="8206" max="8309" width="9.1796875" style="281" hidden="1" customWidth="1"/>
    <col min="8310" max="8449" width="9.1796875" style="281" hidden="1"/>
    <col min="8450" max="8450" width="28" style="281" customWidth="1"/>
    <col min="8451" max="8451" width="28.26953125" style="281" customWidth="1"/>
    <col min="8452" max="8452" width="11.26953125" style="281" customWidth="1"/>
    <col min="8453" max="8453" width="28.26953125" style="281" customWidth="1"/>
    <col min="8454" max="8454" width="8.26953125" style="281" customWidth="1"/>
    <col min="8455" max="8455" width="25.81640625" style="281" customWidth="1"/>
    <col min="8456" max="8456" width="23.7265625" style="281" customWidth="1"/>
    <col min="8457" max="8457" width="28.26953125" style="281" customWidth="1"/>
    <col min="8458" max="8458" width="5.54296875" style="281" customWidth="1"/>
    <col min="8459" max="8459" width="28.26953125" style="281" customWidth="1"/>
    <col min="8460" max="8460" width="2.81640625" style="281" customWidth="1"/>
    <col min="8461" max="8461" width="2.26953125" style="281" customWidth="1"/>
    <col min="8462" max="8565" width="9.1796875" style="281" hidden="1" customWidth="1"/>
    <col min="8566" max="8705" width="9.1796875" style="281" hidden="1"/>
    <col min="8706" max="8706" width="28" style="281" customWidth="1"/>
    <col min="8707" max="8707" width="28.26953125" style="281" customWidth="1"/>
    <col min="8708" max="8708" width="11.26953125" style="281" customWidth="1"/>
    <col min="8709" max="8709" width="28.26953125" style="281" customWidth="1"/>
    <col min="8710" max="8710" width="8.26953125" style="281" customWidth="1"/>
    <col min="8711" max="8711" width="25.81640625" style="281" customWidth="1"/>
    <col min="8712" max="8712" width="23.7265625" style="281" customWidth="1"/>
    <col min="8713" max="8713" width="28.26953125" style="281" customWidth="1"/>
    <col min="8714" max="8714" width="5.54296875" style="281" customWidth="1"/>
    <col min="8715" max="8715" width="28.26953125" style="281" customWidth="1"/>
    <col min="8716" max="8716" width="2.81640625" style="281" customWidth="1"/>
    <col min="8717" max="8717" width="2.26953125" style="281" customWidth="1"/>
    <col min="8718" max="8821" width="9.1796875" style="281" hidden="1" customWidth="1"/>
    <col min="8822" max="8961" width="9.1796875" style="281" hidden="1"/>
    <col min="8962" max="8962" width="28" style="281" customWidth="1"/>
    <col min="8963" max="8963" width="28.26953125" style="281" customWidth="1"/>
    <col min="8964" max="8964" width="11.26953125" style="281" customWidth="1"/>
    <col min="8965" max="8965" width="28.26953125" style="281" customWidth="1"/>
    <col min="8966" max="8966" width="8.26953125" style="281" customWidth="1"/>
    <col min="8967" max="8967" width="25.81640625" style="281" customWidth="1"/>
    <col min="8968" max="8968" width="23.7265625" style="281" customWidth="1"/>
    <col min="8969" max="8969" width="28.26953125" style="281" customWidth="1"/>
    <col min="8970" max="8970" width="5.54296875" style="281" customWidth="1"/>
    <col min="8971" max="8971" width="28.26953125" style="281" customWidth="1"/>
    <col min="8972" max="8972" width="2.81640625" style="281" customWidth="1"/>
    <col min="8973" max="8973" width="2.26953125" style="281" customWidth="1"/>
    <col min="8974" max="9077" width="9.1796875" style="281" hidden="1" customWidth="1"/>
    <col min="9078" max="9217" width="9.1796875" style="281" hidden="1"/>
    <col min="9218" max="9218" width="28" style="281" customWidth="1"/>
    <col min="9219" max="9219" width="28.26953125" style="281" customWidth="1"/>
    <col min="9220" max="9220" width="11.26953125" style="281" customWidth="1"/>
    <col min="9221" max="9221" width="28.26953125" style="281" customWidth="1"/>
    <col min="9222" max="9222" width="8.26953125" style="281" customWidth="1"/>
    <col min="9223" max="9223" width="25.81640625" style="281" customWidth="1"/>
    <col min="9224" max="9224" width="23.7265625" style="281" customWidth="1"/>
    <col min="9225" max="9225" width="28.26953125" style="281" customWidth="1"/>
    <col min="9226" max="9226" width="5.54296875" style="281" customWidth="1"/>
    <col min="9227" max="9227" width="28.26953125" style="281" customWidth="1"/>
    <col min="9228" max="9228" width="2.81640625" style="281" customWidth="1"/>
    <col min="9229" max="9229" width="2.26953125" style="281" customWidth="1"/>
    <col min="9230" max="9333" width="9.1796875" style="281" hidden="1" customWidth="1"/>
    <col min="9334" max="9473" width="9.1796875" style="281" hidden="1"/>
    <col min="9474" max="9474" width="28" style="281" customWidth="1"/>
    <col min="9475" max="9475" width="28.26953125" style="281" customWidth="1"/>
    <col min="9476" max="9476" width="11.26953125" style="281" customWidth="1"/>
    <col min="9477" max="9477" width="28.26953125" style="281" customWidth="1"/>
    <col min="9478" max="9478" width="8.26953125" style="281" customWidth="1"/>
    <col min="9479" max="9479" width="25.81640625" style="281" customWidth="1"/>
    <col min="9480" max="9480" width="23.7265625" style="281" customWidth="1"/>
    <col min="9481" max="9481" width="28.26953125" style="281" customWidth="1"/>
    <col min="9482" max="9482" width="5.54296875" style="281" customWidth="1"/>
    <col min="9483" max="9483" width="28.26953125" style="281" customWidth="1"/>
    <col min="9484" max="9484" width="2.81640625" style="281" customWidth="1"/>
    <col min="9485" max="9485" width="2.26953125" style="281" customWidth="1"/>
    <col min="9486" max="9589" width="9.1796875" style="281" hidden="1" customWidth="1"/>
    <col min="9590" max="9729" width="9.1796875" style="281" hidden="1"/>
    <col min="9730" max="9730" width="28" style="281" customWidth="1"/>
    <col min="9731" max="9731" width="28.26953125" style="281" customWidth="1"/>
    <col min="9732" max="9732" width="11.26953125" style="281" customWidth="1"/>
    <col min="9733" max="9733" width="28.26953125" style="281" customWidth="1"/>
    <col min="9734" max="9734" width="8.26953125" style="281" customWidth="1"/>
    <col min="9735" max="9735" width="25.81640625" style="281" customWidth="1"/>
    <col min="9736" max="9736" width="23.7265625" style="281" customWidth="1"/>
    <col min="9737" max="9737" width="28.26953125" style="281" customWidth="1"/>
    <col min="9738" max="9738" width="5.54296875" style="281" customWidth="1"/>
    <col min="9739" max="9739" width="28.26953125" style="281" customWidth="1"/>
    <col min="9740" max="9740" width="2.81640625" style="281" customWidth="1"/>
    <col min="9741" max="9741" width="2.26953125" style="281" customWidth="1"/>
    <col min="9742" max="9845" width="9.1796875" style="281" hidden="1" customWidth="1"/>
    <col min="9846" max="9985" width="9.1796875" style="281" hidden="1"/>
    <col min="9986" max="9986" width="28" style="281" customWidth="1"/>
    <col min="9987" max="9987" width="28.26953125" style="281" customWidth="1"/>
    <col min="9988" max="9988" width="11.26953125" style="281" customWidth="1"/>
    <col min="9989" max="9989" width="28.26953125" style="281" customWidth="1"/>
    <col min="9990" max="9990" width="8.26953125" style="281" customWidth="1"/>
    <col min="9991" max="9991" width="25.81640625" style="281" customWidth="1"/>
    <col min="9992" max="9992" width="23.7265625" style="281" customWidth="1"/>
    <col min="9993" max="9993" width="28.26953125" style="281" customWidth="1"/>
    <col min="9994" max="9994" width="5.54296875" style="281" customWidth="1"/>
    <col min="9995" max="9995" width="28.26953125" style="281" customWidth="1"/>
    <col min="9996" max="9996" width="2.81640625" style="281" customWidth="1"/>
    <col min="9997" max="9997" width="2.26953125" style="281" customWidth="1"/>
    <col min="9998" max="10101" width="9.1796875" style="281" hidden="1" customWidth="1"/>
    <col min="10102" max="10241" width="9.1796875" style="281" hidden="1"/>
    <col min="10242" max="10242" width="28" style="281" customWidth="1"/>
    <col min="10243" max="10243" width="28.26953125" style="281" customWidth="1"/>
    <col min="10244" max="10244" width="11.26953125" style="281" customWidth="1"/>
    <col min="10245" max="10245" width="28.26953125" style="281" customWidth="1"/>
    <col min="10246" max="10246" width="8.26953125" style="281" customWidth="1"/>
    <col min="10247" max="10247" width="25.81640625" style="281" customWidth="1"/>
    <col min="10248" max="10248" width="23.7265625" style="281" customWidth="1"/>
    <col min="10249" max="10249" width="28.26953125" style="281" customWidth="1"/>
    <col min="10250" max="10250" width="5.54296875" style="281" customWidth="1"/>
    <col min="10251" max="10251" width="28.26953125" style="281" customWidth="1"/>
    <col min="10252" max="10252" width="2.81640625" style="281" customWidth="1"/>
    <col min="10253" max="10253" width="2.26953125" style="281" customWidth="1"/>
    <col min="10254" max="10357" width="9.1796875" style="281" hidden="1" customWidth="1"/>
    <col min="10358" max="10497" width="9.1796875" style="281" hidden="1"/>
    <col min="10498" max="10498" width="28" style="281" customWidth="1"/>
    <col min="10499" max="10499" width="28.26953125" style="281" customWidth="1"/>
    <col min="10500" max="10500" width="11.26953125" style="281" customWidth="1"/>
    <col min="10501" max="10501" width="28.26953125" style="281" customWidth="1"/>
    <col min="10502" max="10502" width="8.26953125" style="281" customWidth="1"/>
    <col min="10503" max="10503" width="25.81640625" style="281" customWidth="1"/>
    <col min="10504" max="10504" width="23.7265625" style="281" customWidth="1"/>
    <col min="10505" max="10505" width="28.26953125" style="281" customWidth="1"/>
    <col min="10506" max="10506" width="5.54296875" style="281" customWidth="1"/>
    <col min="10507" max="10507" width="28.26953125" style="281" customWidth="1"/>
    <col min="10508" max="10508" width="2.81640625" style="281" customWidth="1"/>
    <col min="10509" max="10509" width="2.26953125" style="281" customWidth="1"/>
    <col min="10510" max="10613" width="9.1796875" style="281" hidden="1" customWidth="1"/>
    <col min="10614" max="10753" width="9.1796875" style="281" hidden="1"/>
    <col min="10754" max="10754" width="28" style="281" customWidth="1"/>
    <col min="10755" max="10755" width="28.26953125" style="281" customWidth="1"/>
    <col min="10756" max="10756" width="11.26953125" style="281" customWidth="1"/>
    <col min="10757" max="10757" width="28.26953125" style="281" customWidth="1"/>
    <col min="10758" max="10758" width="8.26953125" style="281" customWidth="1"/>
    <col min="10759" max="10759" width="25.81640625" style="281" customWidth="1"/>
    <col min="10760" max="10760" width="23.7265625" style="281" customWidth="1"/>
    <col min="10761" max="10761" width="28.26953125" style="281" customWidth="1"/>
    <col min="10762" max="10762" width="5.54296875" style="281" customWidth="1"/>
    <col min="10763" max="10763" width="28.26953125" style="281" customWidth="1"/>
    <col min="10764" max="10764" width="2.81640625" style="281" customWidth="1"/>
    <col min="10765" max="10765" width="2.26953125" style="281" customWidth="1"/>
    <col min="10766" max="10869" width="9.1796875" style="281" hidden="1" customWidth="1"/>
    <col min="10870" max="11009" width="9.1796875" style="281" hidden="1"/>
    <col min="11010" max="11010" width="28" style="281" customWidth="1"/>
    <col min="11011" max="11011" width="28.26953125" style="281" customWidth="1"/>
    <col min="11012" max="11012" width="11.26953125" style="281" customWidth="1"/>
    <col min="11013" max="11013" width="28.26953125" style="281" customWidth="1"/>
    <col min="11014" max="11014" width="8.26953125" style="281" customWidth="1"/>
    <col min="11015" max="11015" width="25.81640625" style="281" customWidth="1"/>
    <col min="11016" max="11016" width="23.7265625" style="281" customWidth="1"/>
    <col min="11017" max="11017" width="28.26953125" style="281" customWidth="1"/>
    <col min="11018" max="11018" width="5.54296875" style="281" customWidth="1"/>
    <col min="11019" max="11019" width="28.26953125" style="281" customWidth="1"/>
    <col min="11020" max="11020" width="2.81640625" style="281" customWidth="1"/>
    <col min="11021" max="11021" width="2.26953125" style="281" customWidth="1"/>
    <col min="11022" max="11125" width="9.1796875" style="281" hidden="1" customWidth="1"/>
    <col min="11126" max="11265" width="9.1796875" style="281" hidden="1"/>
    <col min="11266" max="11266" width="28" style="281" customWidth="1"/>
    <col min="11267" max="11267" width="28.26953125" style="281" customWidth="1"/>
    <col min="11268" max="11268" width="11.26953125" style="281" customWidth="1"/>
    <col min="11269" max="11269" width="28.26953125" style="281" customWidth="1"/>
    <col min="11270" max="11270" width="8.26953125" style="281" customWidth="1"/>
    <col min="11271" max="11271" width="25.81640625" style="281" customWidth="1"/>
    <col min="11272" max="11272" width="23.7265625" style="281" customWidth="1"/>
    <col min="11273" max="11273" width="28.26953125" style="281" customWidth="1"/>
    <col min="11274" max="11274" width="5.54296875" style="281" customWidth="1"/>
    <col min="11275" max="11275" width="28.26953125" style="281" customWidth="1"/>
    <col min="11276" max="11276" width="2.81640625" style="281" customWidth="1"/>
    <col min="11277" max="11277" width="2.26953125" style="281" customWidth="1"/>
    <col min="11278" max="11381" width="9.1796875" style="281" hidden="1" customWidth="1"/>
    <col min="11382" max="11521" width="9.1796875" style="281" hidden="1"/>
    <col min="11522" max="11522" width="28" style="281" customWidth="1"/>
    <col min="11523" max="11523" width="28.26953125" style="281" customWidth="1"/>
    <col min="11524" max="11524" width="11.26953125" style="281" customWidth="1"/>
    <col min="11525" max="11525" width="28.26953125" style="281" customWidth="1"/>
    <col min="11526" max="11526" width="8.26953125" style="281" customWidth="1"/>
    <col min="11527" max="11527" width="25.81640625" style="281" customWidth="1"/>
    <col min="11528" max="11528" width="23.7265625" style="281" customWidth="1"/>
    <col min="11529" max="11529" width="28.26953125" style="281" customWidth="1"/>
    <col min="11530" max="11530" width="5.54296875" style="281" customWidth="1"/>
    <col min="11531" max="11531" width="28.26953125" style="281" customWidth="1"/>
    <col min="11532" max="11532" width="2.81640625" style="281" customWidth="1"/>
    <col min="11533" max="11533" width="2.26953125" style="281" customWidth="1"/>
    <col min="11534" max="11637" width="9.1796875" style="281" hidden="1" customWidth="1"/>
    <col min="11638" max="11777" width="9.1796875" style="281" hidden="1"/>
    <col min="11778" max="11778" width="28" style="281" customWidth="1"/>
    <col min="11779" max="11779" width="28.26953125" style="281" customWidth="1"/>
    <col min="11780" max="11780" width="11.26953125" style="281" customWidth="1"/>
    <col min="11781" max="11781" width="28.26953125" style="281" customWidth="1"/>
    <col min="11782" max="11782" width="8.26953125" style="281" customWidth="1"/>
    <col min="11783" max="11783" width="25.81640625" style="281" customWidth="1"/>
    <col min="11784" max="11784" width="23.7265625" style="281" customWidth="1"/>
    <col min="11785" max="11785" width="28.26953125" style="281" customWidth="1"/>
    <col min="11786" max="11786" width="5.54296875" style="281" customWidth="1"/>
    <col min="11787" max="11787" width="28.26953125" style="281" customWidth="1"/>
    <col min="11788" max="11788" width="2.81640625" style="281" customWidth="1"/>
    <col min="11789" max="11789" width="2.26953125" style="281" customWidth="1"/>
    <col min="11790" max="11893" width="9.1796875" style="281" hidden="1" customWidth="1"/>
    <col min="11894" max="12033" width="9.1796875" style="281" hidden="1"/>
    <col min="12034" max="12034" width="28" style="281" customWidth="1"/>
    <col min="12035" max="12035" width="28.26953125" style="281" customWidth="1"/>
    <col min="12036" max="12036" width="11.26953125" style="281" customWidth="1"/>
    <col min="12037" max="12037" width="28.26953125" style="281" customWidth="1"/>
    <col min="12038" max="12038" width="8.26953125" style="281" customWidth="1"/>
    <col min="12039" max="12039" width="25.81640625" style="281" customWidth="1"/>
    <col min="12040" max="12040" width="23.7265625" style="281" customWidth="1"/>
    <col min="12041" max="12041" width="28.26953125" style="281" customWidth="1"/>
    <col min="12042" max="12042" width="5.54296875" style="281" customWidth="1"/>
    <col min="12043" max="12043" width="28.26953125" style="281" customWidth="1"/>
    <col min="12044" max="12044" width="2.81640625" style="281" customWidth="1"/>
    <col min="12045" max="12045" width="2.26953125" style="281" customWidth="1"/>
    <col min="12046" max="12149" width="9.1796875" style="281" hidden="1" customWidth="1"/>
    <col min="12150" max="12289" width="9.1796875" style="281" hidden="1"/>
    <col min="12290" max="12290" width="28" style="281" customWidth="1"/>
    <col min="12291" max="12291" width="28.26953125" style="281" customWidth="1"/>
    <col min="12292" max="12292" width="11.26953125" style="281" customWidth="1"/>
    <col min="12293" max="12293" width="28.26953125" style="281" customWidth="1"/>
    <col min="12294" max="12294" width="8.26953125" style="281" customWidth="1"/>
    <col min="12295" max="12295" width="25.81640625" style="281" customWidth="1"/>
    <col min="12296" max="12296" width="23.7265625" style="281" customWidth="1"/>
    <col min="12297" max="12297" width="28.26953125" style="281" customWidth="1"/>
    <col min="12298" max="12298" width="5.54296875" style="281" customWidth="1"/>
    <col min="12299" max="12299" width="28.26953125" style="281" customWidth="1"/>
    <col min="12300" max="12300" width="2.81640625" style="281" customWidth="1"/>
    <col min="12301" max="12301" width="2.26953125" style="281" customWidth="1"/>
    <col min="12302" max="12405" width="9.1796875" style="281" hidden="1" customWidth="1"/>
    <col min="12406" max="12545" width="9.1796875" style="281" hidden="1"/>
    <col min="12546" max="12546" width="28" style="281" customWidth="1"/>
    <col min="12547" max="12547" width="28.26953125" style="281" customWidth="1"/>
    <col min="12548" max="12548" width="11.26953125" style="281" customWidth="1"/>
    <col min="12549" max="12549" width="28.26953125" style="281" customWidth="1"/>
    <col min="12550" max="12550" width="8.26953125" style="281" customWidth="1"/>
    <col min="12551" max="12551" width="25.81640625" style="281" customWidth="1"/>
    <col min="12552" max="12552" width="23.7265625" style="281" customWidth="1"/>
    <col min="12553" max="12553" width="28.26953125" style="281" customWidth="1"/>
    <col min="12554" max="12554" width="5.54296875" style="281" customWidth="1"/>
    <col min="12555" max="12555" width="28.26953125" style="281" customWidth="1"/>
    <col min="12556" max="12556" width="2.81640625" style="281" customWidth="1"/>
    <col min="12557" max="12557" width="2.26953125" style="281" customWidth="1"/>
    <col min="12558" max="12661" width="9.1796875" style="281" hidden="1" customWidth="1"/>
    <col min="12662" max="12801" width="9.1796875" style="281" hidden="1"/>
    <col min="12802" max="12802" width="28" style="281" customWidth="1"/>
    <col min="12803" max="12803" width="28.26953125" style="281" customWidth="1"/>
    <col min="12804" max="12804" width="11.26953125" style="281" customWidth="1"/>
    <col min="12805" max="12805" width="28.26953125" style="281" customWidth="1"/>
    <col min="12806" max="12806" width="8.26953125" style="281" customWidth="1"/>
    <col min="12807" max="12807" width="25.81640625" style="281" customWidth="1"/>
    <col min="12808" max="12808" width="23.7265625" style="281" customWidth="1"/>
    <col min="12809" max="12809" width="28.26953125" style="281" customWidth="1"/>
    <col min="12810" max="12810" width="5.54296875" style="281" customWidth="1"/>
    <col min="12811" max="12811" width="28.26953125" style="281" customWidth="1"/>
    <col min="12812" max="12812" width="2.81640625" style="281" customWidth="1"/>
    <col min="12813" max="12813" width="2.26953125" style="281" customWidth="1"/>
    <col min="12814" max="12917" width="9.1796875" style="281" hidden="1" customWidth="1"/>
    <col min="12918" max="13057" width="9.1796875" style="281" hidden="1"/>
    <col min="13058" max="13058" width="28" style="281" customWidth="1"/>
    <col min="13059" max="13059" width="28.26953125" style="281" customWidth="1"/>
    <col min="13060" max="13060" width="11.26953125" style="281" customWidth="1"/>
    <col min="13061" max="13061" width="28.26953125" style="281" customWidth="1"/>
    <col min="13062" max="13062" width="8.26953125" style="281" customWidth="1"/>
    <col min="13063" max="13063" width="25.81640625" style="281" customWidth="1"/>
    <col min="13064" max="13064" width="23.7265625" style="281" customWidth="1"/>
    <col min="13065" max="13065" width="28.26953125" style="281" customWidth="1"/>
    <col min="13066" max="13066" width="5.54296875" style="281" customWidth="1"/>
    <col min="13067" max="13067" width="28.26953125" style="281" customWidth="1"/>
    <col min="13068" max="13068" width="2.81640625" style="281" customWidth="1"/>
    <col min="13069" max="13069" width="2.26953125" style="281" customWidth="1"/>
    <col min="13070" max="13173" width="9.1796875" style="281" hidden="1" customWidth="1"/>
    <col min="13174" max="13313" width="9.1796875" style="281" hidden="1"/>
    <col min="13314" max="13314" width="28" style="281" customWidth="1"/>
    <col min="13315" max="13315" width="28.26953125" style="281" customWidth="1"/>
    <col min="13316" max="13316" width="11.26953125" style="281" customWidth="1"/>
    <col min="13317" max="13317" width="28.26953125" style="281" customWidth="1"/>
    <col min="13318" max="13318" width="8.26953125" style="281" customWidth="1"/>
    <col min="13319" max="13319" width="25.81640625" style="281" customWidth="1"/>
    <col min="13320" max="13320" width="23.7265625" style="281" customWidth="1"/>
    <col min="13321" max="13321" width="28.26953125" style="281" customWidth="1"/>
    <col min="13322" max="13322" width="5.54296875" style="281" customWidth="1"/>
    <col min="13323" max="13323" width="28.26953125" style="281" customWidth="1"/>
    <col min="13324" max="13324" width="2.81640625" style="281" customWidth="1"/>
    <col min="13325" max="13325" width="2.26953125" style="281" customWidth="1"/>
    <col min="13326" max="13429" width="9.1796875" style="281" hidden="1" customWidth="1"/>
    <col min="13430" max="13569" width="9.1796875" style="281" hidden="1"/>
    <col min="13570" max="13570" width="28" style="281" customWidth="1"/>
    <col min="13571" max="13571" width="28.26953125" style="281" customWidth="1"/>
    <col min="13572" max="13572" width="11.26953125" style="281" customWidth="1"/>
    <col min="13573" max="13573" width="28.26953125" style="281" customWidth="1"/>
    <col min="13574" max="13574" width="8.26953125" style="281" customWidth="1"/>
    <col min="13575" max="13575" width="25.81640625" style="281" customWidth="1"/>
    <col min="13576" max="13576" width="23.7265625" style="281" customWidth="1"/>
    <col min="13577" max="13577" width="28.26953125" style="281" customWidth="1"/>
    <col min="13578" max="13578" width="5.54296875" style="281" customWidth="1"/>
    <col min="13579" max="13579" width="28.26953125" style="281" customWidth="1"/>
    <col min="13580" max="13580" width="2.81640625" style="281" customWidth="1"/>
    <col min="13581" max="13581" width="2.26953125" style="281" customWidth="1"/>
    <col min="13582" max="13685" width="9.1796875" style="281" hidden="1" customWidth="1"/>
    <col min="13686" max="13825" width="9.1796875" style="281" hidden="1"/>
    <col min="13826" max="13826" width="28" style="281" customWidth="1"/>
    <col min="13827" max="13827" width="28.26953125" style="281" customWidth="1"/>
    <col min="13828" max="13828" width="11.26953125" style="281" customWidth="1"/>
    <col min="13829" max="13829" width="28.26953125" style="281" customWidth="1"/>
    <col min="13830" max="13830" width="8.26953125" style="281" customWidth="1"/>
    <col min="13831" max="13831" width="25.81640625" style="281" customWidth="1"/>
    <col min="13832" max="13832" width="23.7265625" style="281" customWidth="1"/>
    <col min="13833" max="13833" width="28.26953125" style="281" customWidth="1"/>
    <col min="13834" max="13834" width="5.54296875" style="281" customWidth="1"/>
    <col min="13835" max="13835" width="28.26953125" style="281" customWidth="1"/>
    <col min="13836" max="13836" width="2.81640625" style="281" customWidth="1"/>
    <col min="13837" max="13837" width="2.26953125" style="281" customWidth="1"/>
    <col min="13838" max="13941" width="9.1796875" style="281" hidden="1" customWidth="1"/>
    <col min="13942" max="14081" width="9.1796875" style="281" hidden="1"/>
    <col min="14082" max="14082" width="28" style="281" customWidth="1"/>
    <col min="14083" max="14083" width="28.26953125" style="281" customWidth="1"/>
    <col min="14084" max="14084" width="11.26953125" style="281" customWidth="1"/>
    <col min="14085" max="14085" width="28.26953125" style="281" customWidth="1"/>
    <col min="14086" max="14086" width="8.26953125" style="281" customWidth="1"/>
    <col min="14087" max="14087" width="25.81640625" style="281" customWidth="1"/>
    <col min="14088" max="14088" width="23.7265625" style="281" customWidth="1"/>
    <col min="14089" max="14089" width="28.26953125" style="281" customWidth="1"/>
    <col min="14090" max="14090" width="5.54296875" style="281" customWidth="1"/>
    <col min="14091" max="14091" width="28.26953125" style="281" customWidth="1"/>
    <col min="14092" max="14092" width="2.81640625" style="281" customWidth="1"/>
    <col min="14093" max="14093" width="2.26953125" style="281" customWidth="1"/>
    <col min="14094" max="14197" width="9.1796875" style="281" hidden="1" customWidth="1"/>
    <col min="14198" max="14337" width="9.1796875" style="281" hidden="1"/>
    <col min="14338" max="14338" width="28" style="281" customWidth="1"/>
    <col min="14339" max="14339" width="28.26953125" style="281" customWidth="1"/>
    <col min="14340" max="14340" width="11.26953125" style="281" customWidth="1"/>
    <col min="14341" max="14341" width="28.26953125" style="281" customWidth="1"/>
    <col min="14342" max="14342" width="8.26953125" style="281" customWidth="1"/>
    <col min="14343" max="14343" width="25.81640625" style="281" customWidth="1"/>
    <col min="14344" max="14344" width="23.7265625" style="281" customWidth="1"/>
    <col min="14345" max="14345" width="28.26953125" style="281" customWidth="1"/>
    <col min="14346" max="14346" width="5.54296875" style="281" customWidth="1"/>
    <col min="14347" max="14347" width="28.26953125" style="281" customWidth="1"/>
    <col min="14348" max="14348" width="2.81640625" style="281" customWidth="1"/>
    <col min="14349" max="14349" width="2.26953125" style="281" customWidth="1"/>
    <col min="14350" max="14453" width="9.1796875" style="281" hidden="1" customWidth="1"/>
    <col min="14454" max="14593" width="9.1796875" style="281" hidden="1"/>
    <col min="14594" max="14594" width="28" style="281" customWidth="1"/>
    <col min="14595" max="14595" width="28.26953125" style="281" customWidth="1"/>
    <col min="14596" max="14596" width="11.26953125" style="281" customWidth="1"/>
    <col min="14597" max="14597" width="28.26953125" style="281" customWidth="1"/>
    <col min="14598" max="14598" width="8.26953125" style="281" customWidth="1"/>
    <col min="14599" max="14599" width="25.81640625" style="281" customWidth="1"/>
    <col min="14600" max="14600" width="23.7265625" style="281" customWidth="1"/>
    <col min="14601" max="14601" width="28.26953125" style="281" customWidth="1"/>
    <col min="14602" max="14602" width="5.54296875" style="281" customWidth="1"/>
    <col min="14603" max="14603" width="28.26953125" style="281" customWidth="1"/>
    <col min="14604" max="14604" width="2.81640625" style="281" customWidth="1"/>
    <col min="14605" max="14605" width="2.26953125" style="281" customWidth="1"/>
    <col min="14606" max="14709" width="9.1796875" style="281" hidden="1" customWidth="1"/>
    <col min="14710" max="14849" width="9.1796875" style="281" hidden="1"/>
    <col min="14850" max="14850" width="28" style="281" customWidth="1"/>
    <col min="14851" max="14851" width="28.26953125" style="281" customWidth="1"/>
    <col min="14852" max="14852" width="11.26953125" style="281" customWidth="1"/>
    <col min="14853" max="14853" width="28.26953125" style="281" customWidth="1"/>
    <col min="14854" max="14854" width="8.26953125" style="281" customWidth="1"/>
    <col min="14855" max="14855" width="25.81640625" style="281" customWidth="1"/>
    <col min="14856" max="14856" width="23.7265625" style="281" customWidth="1"/>
    <col min="14857" max="14857" width="28.26953125" style="281" customWidth="1"/>
    <col min="14858" max="14858" width="5.54296875" style="281" customWidth="1"/>
    <col min="14859" max="14859" width="28.26953125" style="281" customWidth="1"/>
    <col min="14860" max="14860" width="2.81640625" style="281" customWidth="1"/>
    <col min="14861" max="14861" width="2.26953125" style="281" customWidth="1"/>
    <col min="14862" max="14965" width="9.1796875" style="281" hidden="1" customWidth="1"/>
    <col min="14966" max="15105" width="9.1796875" style="281" hidden="1"/>
    <col min="15106" max="15106" width="28" style="281" customWidth="1"/>
    <col min="15107" max="15107" width="28.26953125" style="281" customWidth="1"/>
    <col min="15108" max="15108" width="11.26953125" style="281" customWidth="1"/>
    <col min="15109" max="15109" width="28.26953125" style="281" customWidth="1"/>
    <col min="15110" max="15110" width="8.26953125" style="281" customWidth="1"/>
    <col min="15111" max="15111" width="25.81640625" style="281" customWidth="1"/>
    <col min="15112" max="15112" width="23.7265625" style="281" customWidth="1"/>
    <col min="15113" max="15113" width="28.26953125" style="281" customWidth="1"/>
    <col min="15114" max="15114" width="5.54296875" style="281" customWidth="1"/>
    <col min="15115" max="15115" width="28.26953125" style="281" customWidth="1"/>
    <col min="15116" max="15116" width="2.81640625" style="281" customWidth="1"/>
    <col min="15117" max="15117" width="2.26953125" style="281" customWidth="1"/>
    <col min="15118" max="15221" width="9.1796875" style="281" hidden="1" customWidth="1"/>
    <col min="15222" max="15361" width="9.1796875" style="281" hidden="1"/>
    <col min="15362" max="15362" width="28" style="281" customWidth="1"/>
    <col min="15363" max="15363" width="28.26953125" style="281" customWidth="1"/>
    <col min="15364" max="15364" width="11.26953125" style="281" customWidth="1"/>
    <col min="15365" max="15365" width="28.26953125" style="281" customWidth="1"/>
    <col min="15366" max="15366" width="8.26953125" style="281" customWidth="1"/>
    <col min="15367" max="15367" width="25.81640625" style="281" customWidth="1"/>
    <col min="15368" max="15368" width="23.7265625" style="281" customWidth="1"/>
    <col min="15369" max="15369" width="28.26953125" style="281" customWidth="1"/>
    <col min="15370" max="15370" width="5.54296875" style="281" customWidth="1"/>
    <col min="15371" max="15371" width="28.26953125" style="281" customWidth="1"/>
    <col min="15372" max="15372" width="2.81640625" style="281" customWidth="1"/>
    <col min="15373" max="15373" width="2.26953125" style="281" customWidth="1"/>
    <col min="15374" max="15477" width="9.1796875" style="281" hidden="1" customWidth="1"/>
    <col min="15478" max="15617" width="9.1796875" style="281" hidden="1"/>
    <col min="15618" max="15618" width="28" style="281" customWidth="1"/>
    <col min="15619" max="15619" width="28.26953125" style="281" customWidth="1"/>
    <col min="15620" max="15620" width="11.26953125" style="281" customWidth="1"/>
    <col min="15621" max="15621" width="28.26953125" style="281" customWidth="1"/>
    <col min="15622" max="15622" width="8.26953125" style="281" customWidth="1"/>
    <col min="15623" max="15623" width="25.81640625" style="281" customWidth="1"/>
    <col min="15624" max="15624" width="23.7265625" style="281" customWidth="1"/>
    <col min="15625" max="15625" width="28.26953125" style="281" customWidth="1"/>
    <col min="15626" max="15626" width="5.54296875" style="281" customWidth="1"/>
    <col min="15627" max="15627" width="28.26953125" style="281" customWidth="1"/>
    <col min="15628" max="15628" width="2.81640625" style="281" customWidth="1"/>
    <col min="15629" max="15629" width="2.26953125" style="281" customWidth="1"/>
    <col min="15630" max="15733" width="9.1796875" style="281" hidden="1" customWidth="1"/>
    <col min="15734" max="15873" width="9.1796875" style="281" hidden="1"/>
    <col min="15874" max="15874" width="28" style="281" customWidth="1"/>
    <col min="15875" max="15875" width="28.26953125" style="281" customWidth="1"/>
    <col min="15876" max="15876" width="11.26953125" style="281" customWidth="1"/>
    <col min="15877" max="15877" width="28.26953125" style="281" customWidth="1"/>
    <col min="15878" max="15878" width="8.26953125" style="281" customWidth="1"/>
    <col min="15879" max="15879" width="25.81640625" style="281" customWidth="1"/>
    <col min="15880" max="15880" width="23.7265625" style="281" customWidth="1"/>
    <col min="15881" max="15881" width="28.26953125" style="281" customWidth="1"/>
    <col min="15882" max="15882" width="5.54296875" style="281" customWidth="1"/>
    <col min="15883" max="15883" width="28.26953125" style="281" customWidth="1"/>
    <col min="15884" max="15884" width="2.81640625" style="281" customWidth="1"/>
    <col min="15885" max="15885" width="2.26953125" style="281" customWidth="1"/>
    <col min="15886" max="15989" width="9.1796875" style="281" hidden="1" customWidth="1"/>
    <col min="15990" max="16129" width="9.1796875" style="281" hidden="1"/>
    <col min="16130" max="16130" width="28" style="281" customWidth="1"/>
    <col min="16131" max="16131" width="28.26953125" style="281" customWidth="1"/>
    <col min="16132" max="16132" width="11.26953125" style="281" customWidth="1"/>
    <col min="16133" max="16133" width="28.26953125" style="281" customWidth="1"/>
    <col min="16134" max="16134" width="8.26953125" style="281" customWidth="1"/>
    <col min="16135" max="16135" width="25.81640625" style="281" customWidth="1"/>
    <col min="16136" max="16136" width="23.7265625" style="281" customWidth="1"/>
    <col min="16137" max="16137" width="28.26953125" style="281" customWidth="1"/>
    <col min="16138" max="16138" width="5.54296875" style="281" customWidth="1"/>
    <col min="16139" max="16139" width="28.26953125" style="281" customWidth="1"/>
    <col min="16140" max="16140" width="2.81640625" style="281" customWidth="1"/>
    <col min="16141" max="16141" width="2.26953125" style="281" customWidth="1"/>
    <col min="16142" max="16245" width="9.1796875" style="281" hidden="1" customWidth="1"/>
    <col min="16246" max="16384" width="9.1796875" style="281" hidden="1"/>
  </cols>
  <sheetData>
    <row r="1" spans="1:104" s="178" customFormat="1" ht="27.75" customHeight="1" thickBot="1" x14ac:dyDescent="0.55000000000000004">
      <c r="A1" s="1028" t="s">
        <v>608</v>
      </c>
      <c r="B1" s="1029"/>
      <c r="C1" s="1029"/>
      <c r="D1" s="1030" t="s">
        <v>629</v>
      </c>
      <c r="E1" s="1030"/>
      <c r="F1" s="1030"/>
      <c r="G1" s="1031" t="s">
        <v>603</v>
      </c>
      <c r="H1" s="1032"/>
      <c r="I1" s="1032"/>
      <c r="J1" s="1032"/>
      <c r="K1" s="847" t="s">
        <v>602</v>
      </c>
      <c r="L1" s="174"/>
      <c r="M1" s="175"/>
      <c r="N1" s="467">
        <v>1</v>
      </c>
      <c r="O1" s="467" t="s">
        <v>100</v>
      </c>
      <c r="P1" s="467"/>
      <c r="Q1" s="467" t="s">
        <v>86</v>
      </c>
      <c r="R1" s="467" t="s">
        <v>94</v>
      </c>
      <c r="S1" s="788">
        <f>B45</f>
        <v>0</v>
      </c>
      <c r="T1" s="467"/>
      <c r="U1" s="467" t="s">
        <v>87</v>
      </c>
      <c r="V1" s="467" t="s">
        <v>21</v>
      </c>
      <c r="W1" s="787" t="s">
        <v>21</v>
      </c>
      <c r="X1" s="788">
        <f>B50</f>
        <v>0</v>
      </c>
      <c r="Y1" s="467"/>
      <c r="Z1" s="467"/>
      <c r="AA1" s="467"/>
      <c r="AB1" s="737" t="s">
        <v>88</v>
      </c>
      <c r="AC1" s="737" t="s">
        <v>92</v>
      </c>
      <c r="AD1" s="738" t="s">
        <v>246</v>
      </c>
      <c r="AE1" s="770" t="e">
        <f>IF(K30="",0,IF(K28&gt;0,4.5%,IF(K30&gt;90%,"4.3%",IF(ROUND(K30*100,0)&gt;80,4.2%,IF(ROUND(K30*100,0)&gt;70,4%,IF(ROUND(K30*100,0)&gt;60,3.9%,IF(ROUND(K30*100,0)&gt;50,3.8%,3.7%)))))))</f>
        <v>#DIV/0!</v>
      </c>
      <c r="AF1" s="770" t="e">
        <f>IF(K30="",0,IF(K28&gt;0,4.5%,IF(ROUND(K30*100,0)&gt;80,3.3%,3.2%)))</f>
        <v>#DIV/0!</v>
      </c>
      <c r="AG1" s="770" t="e">
        <f>IF(K30="",0,IF(K28&gt;0,4.5%,IF(ROUND(K30*100,0)&gt;80,3.6%,IF(ROUND(K30*100,0)&gt;60,3.3%,3.2%))))</f>
        <v>#DIV/0!</v>
      </c>
      <c r="AH1" s="770" t="e">
        <f>IF(E28&lt;250000,IF(K30="",0,IF(K28&gt;0,4.5%,IF(ROUND(K30*100,0)&gt;80,3.1%,IF(ROUND(K30*100,0)&gt;60,2.9%,2.85%)))),IF(K30="",0,IF(K28&gt;0,4.5%,IF(ROUND(K30*100,0)&gt;80,3.1%,IF(ROUND(K30*100,0)&gt;60,2.8%,2.75%)))))</f>
        <v>#DIV/0!</v>
      </c>
      <c r="AI1" s="770" t="e">
        <f>IF(K30="",0,IF(K28&gt;0,4.5%,IF(ROUND(K30*100,0)&gt;80,4.65%,3.9%)))</f>
        <v>#DIV/0!</v>
      </c>
      <c r="AJ1" s="770" t="e">
        <f>IF(E28&lt;250000,IF(K30="",0,IF(K28&gt;0,4.5%,IF(ROUND(K30*100,0)&gt;80,3.2%,IF(ROUND(K30*100,0)&gt;60,3%,2.95%)))),IF(K30="",0,IF(K28&gt;0,4.5%,IF(ROUND(K30*100,0)&gt;80,3.2%,IF(ROUND(K30*100,0)&gt;60,2.9%,2.85%)))))</f>
        <v>#DIV/0!</v>
      </c>
      <c r="AK1" s="753"/>
      <c r="AL1" s="753"/>
      <c r="AM1" s="144"/>
      <c r="AN1" s="144"/>
      <c r="AO1" s="144"/>
      <c r="AP1" s="144"/>
      <c r="AQ1" s="144"/>
      <c r="AR1" s="144"/>
      <c r="AS1" s="144"/>
      <c r="AT1" s="144"/>
      <c r="AU1" s="144"/>
      <c r="AV1" s="176"/>
      <c r="AW1" s="177">
        <v>1</v>
      </c>
      <c r="AX1" s="176" t="s">
        <v>99</v>
      </c>
      <c r="AY1" s="176"/>
      <c r="AZ1" s="176"/>
      <c r="BA1" s="176"/>
      <c r="BN1" s="179"/>
      <c r="BO1" s="179"/>
      <c r="BP1" s="179"/>
      <c r="BQ1" s="179"/>
      <c r="BR1" s="179"/>
      <c r="BS1" s="179"/>
      <c r="BT1" s="179"/>
      <c r="BU1" s="179"/>
      <c r="BV1" s="179"/>
      <c r="BW1" s="179"/>
      <c r="BX1" s="179"/>
      <c r="BY1" s="179"/>
      <c r="BZ1" s="179"/>
      <c r="CA1" s="179"/>
      <c r="CB1" s="179"/>
      <c r="CC1" s="179"/>
      <c r="CD1" s="179"/>
      <c r="CE1" s="179"/>
      <c r="CF1" s="179"/>
      <c r="CG1" s="179"/>
      <c r="CM1" s="179"/>
      <c r="CN1" s="179"/>
      <c r="CO1" s="179"/>
      <c r="CP1" s="179"/>
      <c r="CQ1" s="179"/>
      <c r="CR1" s="179"/>
      <c r="CS1" s="179"/>
      <c r="CT1" s="179"/>
      <c r="CU1" s="179"/>
      <c r="CV1" s="179"/>
      <c r="CW1" s="179"/>
      <c r="CX1" s="179"/>
      <c r="CY1" s="179"/>
      <c r="CZ1" s="179"/>
    </row>
    <row r="2" spans="1:104" s="178" customFormat="1" ht="17.25" hidden="1" customHeight="1" thickBot="1" x14ac:dyDescent="0.5">
      <c r="A2" s="180"/>
      <c r="B2" s="179"/>
      <c r="C2" s="179"/>
      <c r="D2" s="179"/>
      <c r="E2" s="179"/>
      <c r="F2" s="179"/>
      <c r="G2" s="1031"/>
      <c r="H2" s="1032"/>
      <c r="I2" s="1032"/>
      <c r="J2" s="1032"/>
      <c r="K2" s="848"/>
      <c r="L2" s="183"/>
      <c r="M2" s="175"/>
      <c r="N2" s="467">
        <v>2</v>
      </c>
      <c r="O2" s="467" t="s">
        <v>602</v>
      </c>
      <c r="P2" s="467"/>
      <c r="Q2" s="467"/>
      <c r="R2" s="787" t="s">
        <v>21</v>
      </c>
      <c r="S2" s="467"/>
      <c r="T2" s="467"/>
      <c r="U2" s="467"/>
      <c r="V2" s="467" t="s">
        <v>22</v>
      </c>
      <c r="W2" s="787" t="s">
        <v>22</v>
      </c>
      <c r="X2" s="788">
        <f>I50</f>
        <v>0</v>
      </c>
      <c r="Y2" s="467"/>
      <c r="Z2" s="467">
        <v>0</v>
      </c>
      <c r="AA2" s="467">
        <v>1000000</v>
      </c>
      <c r="AB2" s="739" t="s">
        <v>139</v>
      </c>
      <c r="AC2" s="740" t="s">
        <v>92</v>
      </c>
      <c r="AD2" s="738"/>
      <c r="AE2" s="771"/>
      <c r="AF2" s="771"/>
      <c r="AG2" s="770">
        <f>IF(K31="",0,IF(K31&gt;80%,4%,3.7%))</f>
        <v>0</v>
      </c>
      <c r="AH2" s="771"/>
      <c r="AI2" s="771"/>
      <c r="AJ2" s="771"/>
      <c r="AK2" s="754"/>
      <c r="AL2" s="754"/>
      <c r="AM2" s="176"/>
      <c r="AN2" s="176"/>
      <c r="AO2" s="176"/>
      <c r="AP2" s="176"/>
      <c r="AQ2" s="176"/>
      <c r="AR2" s="176"/>
      <c r="AS2" s="176"/>
      <c r="AT2" s="176"/>
      <c r="AU2" s="176"/>
      <c r="AV2" s="176"/>
      <c r="AW2" s="176" t="s">
        <v>93</v>
      </c>
      <c r="AX2" s="176"/>
      <c r="AY2" s="176"/>
      <c r="AZ2" s="176"/>
      <c r="BA2" s="176"/>
      <c r="BN2" s="179"/>
      <c r="BO2" s="179"/>
      <c r="BP2" s="179"/>
      <c r="BQ2" s="179"/>
      <c r="BR2" s="179"/>
      <c r="BS2" s="179"/>
      <c r="BT2" s="179"/>
      <c r="BU2" s="179"/>
      <c r="BV2" s="179"/>
      <c r="BW2" s="179"/>
      <c r="BX2" s="179"/>
      <c r="BY2" s="179"/>
      <c r="BZ2" s="179"/>
      <c r="CA2" s="179"/>
      <c r="CB2" s="179"/>
      <c r="CC2" s="179"/>
      <c r="CD2" s="179"/>
      <c r="CE2" s="179"/>
      <c r="CF2" s="179"/>
      <c r="CG2" s="179"/>
      <c r="CM2" s="179"/>
      <c r="CN2" s="179"/>
      <c r="CO2" s="179"/>
      <c r="CP2" s="179"/>
      <c r="CQ2" s="179"/>
      <c r="CR2" s="179"/>
      <c r="CS2" s="179"/>
      <c r="CT2" s="179"/>
      <c r="CU2" s="179"/>
      <c r="CV2" s="179"/>
      <c r="CW2" s="179"/>
      <c r="CX2" s="179"/>
      <c r="CY2" s="179"/>
      <c r="CZ2" s="179"/>
    </row>
    <row r="3" spans="1:104" s="178" customFormat="1" ht="27.75" customHeight="1" thickBot="1" x14ac:dyDescent="0.55000000000000004">
      <c r="A3" s="1033" t="s">
        <v>140</v>
      </c>
      <c r="B3" s="1034"/>
      <c r="C3" s="1034"/>
      <c r="D3" s="1034"/>
      <c r="E3" s="1034"/>
      <c r="F3" s="1034"/>
      <c r="G3" s="1031" t="s">
        <v>604</v>
      </c>
      <c r="H3" s="1032"/>
      <c r="I3" s="1032"/>
      <c r="J3" s="1032"/>
      <c r="K3" s="849" t="s">
        <v>602</v>
      </c>
      <c r="L3" s="853"/>
      <c r="M3" s="175"/>
      <c r="N3" s="467">
        <v>3</v>
      </c>
      <c r="O3" s="467" t="s">
        <v>101</v>
      </c>
      <c r="P3" s="467"/>
      <c r="Q3" s="467"/>
      <c r="R3" s="787" t="s">
        <v>85</v>
      </c>
      <c r="S3" s="467"/>
      <c r="T3" s="467"/>
      <c r="U3" s="467"/>
      <c r="V3" s="467"/>
      <c r="W3" s="787" t="s">
        <v>135</v>
      </c>
      <c r="X3" s="467"/>
      <c r="Y3" s="467"/>
      <c r="Z3" s="467">
        <v>0</v>
      </c>
      <c r="AA3" s="467">
        <v>0.5</v>
      </c>
      <c r="AB3" s="741" t="e">
        <f>IF($K$30&gt;AA3,"","LTV Variable - Homeloan &lt;= 50% LTV")</f>
        <v>#DIV/0!</v>
      </c>
      <c r="AC3" s="742">
        <v>3.95E-2</v>
      </c>
      <c r="AD3" s="769">
        <v>0.5</v>
      </c>
      <c r="AE3" s="772" t="s">
        <v>500</v>
      </c>
      <c r="AF3" s="772" t="s">
        <v>505</v>
      </c>
      <c r="AG3" s="772" t="s">
        <v>506</v>
      </c>
      <c r="AH3" s="772" t="s">
        <v>507</v>
      </c>
      <c r="AI3" s="772" t="s">
        <v>508</v>
      </c>
      <c r="AJ3" s="772" t="s">
        <v>509</v>
      </c>
      <c r="AK3" s="755"/>
      <c r="AL3" s="755"/>
      <c r="AM3" s="145"/>
      <c r="AN3" s="145"/>
      <c r="AO3" s="145"/>
      <c r="AP3" s="145"/>
      <c r="AQ3" s="145"/>
      <c r="AR3" s="145"/>
      <c r="AS3" s="145"/>
      <c r="AT3" s="145"/>
      <c r="AU3" s="145"/>
      <c r="AV3" s="176"/>
      <c r="AW3" s="176">
        <f>AW2+1</f>
        <v>3</v>
      </c>
      <c r="AX3" s="176"/>
      <c r="AY3" s="176"/>
      <c r="AZ3" s="176"/>
      <c r="BA3" s="176"/>
      <c r="BN3" s="179"/>
      <c r="BO3" s="179"/>
      <c r="BP3" s="179"/>
      <c r="BQ3" s="179"/>
      <c r="BR3" s="179"/>
      <c r="BS3" s="179"/>
      <c r="BT3" s="179"/>
      <c r="BU3" s="179"/>
      <c r="BV3" s="179"/>
      <c r="BW3" s="179"/>
      <c r="BX3" s="179"/>
      <c r="BY3" s="179"/>
      <c r="BZ3" s="179"/>
      <c r="CA3" s="179"/>
      <c r="CB3" s="179"/>
      <c r="CC3" s="179"/>
      <c r="CD3" s="179"/>
      <c r="CE3" s="179"/>
      <c r="CF3" s="179"/>
      <c r="CG3" s="179"/>
      <c r="CM3" s="179"/>
      <c r="CN3" s="179"/>
      <c r="CO3" s="179"/>
      <c r="CP3" s="179"/>
      <c r="CQ3" s="179"/>
      <c r="CR3" s="179"/>
      <c r="CS3" s="179"/>
      <c r="CT3" s="179"/>
      <c r="CU3" s="179"/>
      <c r="CV3" s="179"/>
      <c r="CW3" s="179"/>
      <c r="CX3" s="179"/>
      <c r="CY3" s="179"/>
      <c r="CZ3" s="179"/>
    </row>
    <row r="4" spans="1:104" s="178" customFormat="1" ht="15" customHeight="1" thickBot="1" x14ac:dyDescent="0.55000000000000004">
      <c r="A4" s="1035" t="s">
        <v>348</v>
      </c>
      <c r="B4" s="1036"/>
      <c r="C4" s="1036"/>
      <c r="D4" s="1036"/>
      <c r="E4" s="1036"/>
      <c r="F4" s="1036"/>
      <c r="G4" s="1036"/>
      <c r="H4" s="1036"/>
      <c r="I4" s="1036"/>
      <c r="J4" s="1036"/>
      <c r="K4" s="1036"/>
      <c r="L4" s="1037"/>
      <c r="M4" s="175"/>
      <c r="N4" s="467">
        <v>4</v>
      </c>
      <c r="O4" s="467" t="s">
        <v>100</v>
      </c>
      <c r="P4" s="467"/>
      <c r="Q4" s="467"/>
      <c r="R4" s="467"/>
      <c r="S4" s="467"/>
      <c r="T4" s="467"/>
      <c r="U4" s="467"/>
      <c r="V4" s="467"/>
      <c r="W4" s="467"/>
      <c r="X4" s="467"/>
      <c r="Y4" s="467"/>
      <c r="Z4" s="467">
        <v>0.50000000099999997</v>
      </c>
      <c r="AA4" s="467">
        <v>0.6</v>
      </c>
      <c r="AB4" s="741" t="e">
        <f>IF($K$30&lt;Z4,"",IF($K$30&gt;AA4,"","LTV Variable - Homeloan &gt;50% LTV &lt;= 60% LTV"))</f>
        <v>#DIV/0!</v>
      </c>
      <c r="AC4" s="742">
        <v>4.0500000000000001E-2</v>
      </c>
      <c r="AD4" s="743">
        <v>0.6</v>
      </c>
      <c r="AE4" s="754"/>
      <c r="AF4" s="754"/>
      <c r="AG4" s="754"/>
      <c r="AH4" s="754"/>
      <c r="AI4" s="754"/>
      <c r="AJ4" s="754"/>
      <c r="AK4" s="754"/>
      <c r="AL4" s="754"/>
      <c r="AM4" s="176"/>
      <c r="AN4" s="176"/>
      <c r="AO4" s="176"/>
      <c r="AP4" s="176"/>
      <c r="AQ4" s="176"/>
      <c r="AR4" s="176"/>
      <c r="AS4" s="176"/>
      <c r="AT4" s="176"/>
      <c r="AU4" s="176"/>
      <c r="AV4" s="176"/>
      <c r="AW4" s="176">
        <f t="shared" ref="AW4:AW12" si="0">AW3+1</f>
        <v>4</v>
      </c>
      <c r="AX4" s="176"/>
      <c r="AY4" s="176"/>
      <c r="AZ4" s="176"/>
      <c r="BA4" s="176"/>
      <c r="BN4" s="179"/>
      <c r="BO4" s="179"/>
      <c r="BP4" s="179"/>
      <c r="BQ4" s="179"/>
      <c r="BR4" s="179"/>
      <c r="BS4" s="179"/>
      <c r="BT4" s="179"/>
      <c r="BU4" s="179"/>
      <c r="BV4" s="179"/>
      <c r="BW4" s="179"/>
      <c r="BX4" s="179"/>
      <c r="BY4" s="179"/>
      <c r="BZ4" s="179"/>
      <c r="CA4" s="179"/>
      <c r="CB4" s="179"/>
      <c r="CC4" s="179"/>
      <c r="CD4" s="179"/>
      <c r="CE4" s="179"/>
      <c r="CF4" s="179"/>
      <c r="CG4" s="179"/>
      <c r="CM4" s="179"/>
      <c r="CN4" s="179"/>
      <c r="CO4" s="179"/>
      <c r="CP4" s="179"/>
      <c r="CQ4" s="179"/>
      <c r="CR4" s="179"/>
      <c r="CS4" s="179"/>
      <c r="CT4" s="179"/>
      <c r="CU4" s="179"/>
      <c r="CV4" s="179"/>
      <c r="CW4" s="179"/>
      <c r="CX4" s="179"/>
      <c r="CY4" s="179"/>
      <c r="CZ4" s="179"/>
    </row>
    <row r="5" spans="1:104" s="178" customFormat="1" ht="24.75" customHeight="1" thickBot="1" x14ac:dyDescent="0.55000000000000004">
      <c r="A5" s="184" t="s">
        <v>141</v>
      </c>
      <c r="B5" s="457"/>
      <c r="C5" s="1038"/>
      <c r="D5" s="1039"/>
      <c r="E5" s="1039"/>
      <c r="F5" s="1040"/>
      <c r="G5" s="458"/>
      <c r="H5" s="1044"/>
      <c r="I5" s="1045"/>
      <c r="J5" s="455"/>
      <c r="K5" s="558" t="s">
        <v>254</v>
      </c>
      <c r="L5" s="185"/>
      <c r="M5" s="175"/>
      <c r="N5" s="467">
        <v>5</v>
      </c>
      <c r="O5" s="467"/>
      <c r="P5" s="467"/>
      <c r="Q5" s="467" t="s">
        <v>32</v>
      </c>
      <c r="R5" s="467" t="b">
        <f>IF((E63+K63)&gt;100000,2650,IF((E63+K63)&gt;75000,2400,IF((E63+K63)&gt;0,2150)))</f>
        <v>0</v>
      </c>
      <c r="S5" s="467"/>
      <c r="T5" s="467"/>
      <c r="U5" s="467"/>
      <c r="V5" s="467"/>
      <c r="W5" s="467"/>
      <c r="X5" s="467"/>
      <c r="Y5" s="467"/>
      <c r="Z5" s="467">
        <v>0.60000000099999995</v>
      </c>
      <c r="AA5" s="467">
        <v>0.7</v>
      </c>
      <c r="AB5" s="741" t="e">
        <f>IF($K$30&lt;Z5,"",IF($K$30&gt;AA5,"","LTV Variable - Homeloan &gt;60% LTV &lt;= 70% LTV"))</f>
        <v>#DIV/0!</v>
      </c>
      <c r="AC5" s="742">
        <v>4.1500000000000002E-2</v>
      </c>
      <c r="AD5" s="743">
        <v>0.7</v>
      </c>
      <c r="AE5" s="754"/>
      <c r="AF5" s="754"/>
      <c r="AG5" s="754"/>
      <c r="AH5" s="754"/>
      <c r="AI5" s="754"/>
      <c r="AJ5" s="754"/>
      <c r="AK5" s="754"/>
      <c r="AL5" s="754"/>
      <c r="AM5" s="176"/>
      <c r="AN5" s="176"/>
      <c r="AO5" s="176"/>
      <c r="AP5" s="176"/>
      <c r="AQ5" s="176"/>
      <c r="AR5" s="176"/>
      <c r="AS5" s="176"/>
      <c r="AT5" s="176"/>
      <c r="AU5" s="176"/>
      <c r="AV5" s="176"/>
      <c r="AW5" s="176">
        <f t="shared" si="0"/>
        <v>5</v>
      </c>
      <c r="AX5" s="176"/>
      <c r="AY5" s="176"/>
      <c r="AZ5" s="176"/>
      <c r="BA5" s="176"/>
      <c r="BN5" s="179"/>
      <c r="BO5" s="179"/>
      <c r="BP5" s="179"/>
      <c r="BQ5" s="179"/>
      <c r="BR5" s="179"/>
      <c r="BS5" s="179"/>
      <c r="BT5" s="179"/>
      <c r="BU5" s="179"/>
      <c r="BV5" s="179"/>
      <c r="BW5" s="179"/>
      <c r="BX5" s="179"/>
      <c r="BY5" s="179"/>
      <c r="BZ5" s="179"/>
      <c r="CA5" s="179"/>
      <c r="CB5" s="179"/>
      <c r="CC5" s="179"/>
      <c r="CD5" s="179"/>
      <c r="CE5" s="179"/>
      <c r="CF5" s="179"/>
      <c r="CG5" s="179"/>
      <c r="CM5" s="179"/>
      <c r="CN5" s="179"/>
      <c r="CO5" s="179"/>
      <c r="CP5" s="179"/>
      <c r="CQ5" s="179"/>
      <c r="CR5" s="179"/>
      <c r="CS5" s="179"/>
      <c r="CT5" s="179"/>
      <c r="CU5" s="179"/>
      <c r="CV5" s="179"/>
      <c r="CW5" s="179"/>
      <c r="CX5" s="179"/>
      <c r="CY5" s="179"/>
      <c r="CZ5" s="179"/>
    </row>
    <row r="6" spans="1:104" s="178" customFormat="1" ht="18" customHeight="1" thickBot="1" x14ac:dyDescent="0.55000000000000004">
      <c r="A6" s="186"/>
      <c r="B6" s="179"/>
      <c r="C6" s="179"/>
      <c r="D6" s="179"/>
      <c r="E6" s="179"/>
      <c r="F6" s="179"/>
      <c r="G6" s="179"/>
      <c r="H6" s="179"/>
      <c r="I6" s="179"/>
      <c r="J6" s="179"/>
      <c r="K6" s="179"/>
      <c r="L6" s="183"/>
      <c r="M6" s="175"/>
      <c r="N6" s="467">
        <v>6</v>
      </c>
      <c r="O6" s="467"/>
      <c r="P6" s="467"/>
      <c r="Q6" s="467"/>
      <c r="R6" s="467"/>
      <c r="S6" s="467"/>
      <c r="T6" s="467"/>
      <c r="U6" s="467"/>
      <c r="V6" s="467"/>
      <c r="W6" s="467"/>
      <c r="X6" s="467"/>
      <c r="Y6" s="467"/>
      <c r="Z6" s="467">
        <v>0.70000000100000004</v>
      </c>
      <c r="AA6" s="467">
        <v>0.8</v>
      </c>
      <c r="AB6" s="741" t="e">
        <f>IF($K$30&lt;Z6,"",IF($K$30&gt;AA6,"","LTV Variable - Homeloan &gt;70% LTV &lt;= 80% LTV"))</f>
        <v>#DIV/0!</v>
      </c>
      <c r="AC6" s="742">
        <v>4.2000000000000003E-2</v>
      </c>
      <c r="AD6" s="743">
        <v>0.8</v>
      </c>
      <c r="AE6" s="754"/>
      <c r="AF6" s="754"/>
      <c r="AG6" s="754"/>
      <c r="AH6" s="754"/>
      <c r="AI6" s="754"/>
      <c r="AJ6" s="754"/>
      <c r="AK6" s="754"/>
      <c r="AL6" s="754"/>
      <c r="AM6" s="176"/>
      <c r="AN6" s="176"/>
      <c r="AO6" s="176"/>
      <c r="AP6" s="176"/>
      <c r="AQ6" s="176"/>
      <c r="AR6" s="176"/>
      <c r="AS6" s="176"/>
      <c r="AT6" s="176"/>
      <c r="AU6" s="176"/>
      <c r="AV6" s="176"/>
      <c r="AW6" s="176">
        <f t="shared" si="0"/>
        <v>6</v>
      </c>
      <c r="AX6" s="176"/>
      <c r="AY6" s="176"/>
      <c r="AZ6" s="176"/>
      <c r="BA6" s="176"/>
      <c r="BN6" s="179"/>
      <c r="BO6" s="179"/>
      <c r="BP6" s="179"/>
      <c r="BQ6" s="179"/>
      <c r="BR6" s="179"/>
      <c r="BS6" s="179"/>
      <c r="BT6" s="179"/>
      <c r="BU6" s="179"/>
      <c r="BV6" s="179"/>
      <c r="BW6" s="179"/>
      <c r="BX6" s="179"/>
      <c r="BY6" s="179"/>
      <c r="BZ6" s="179"/>
      <c r="CA6" s="179"/>
      <c r="CB6" s="179"/>
      <c r="CC6" s="179"/>
      <c r="CD6" s="179"/>
      <c r="CE6" s="179"/>
      <c r="CF6" s="179"/>
      <c r="CG6" s="179"/>
      <c r="CM6" s="179"/>
      <c r="CN6" s="179"/>
      <c r="CO6" s="179"/>
      <c r="CP6" s="179"/>
      <c r="CQ6" s="179"/>
      <c r="CR6" s="179"/>
      <c r="CS6" s="179"/>
      <c r="CT6" s="179"/>
      <c r="CU6" s="179"/>
      <c r="CV6" s="179"/>
      <c r="CW6" s="179"/>
      <c r="CX6" s="179"/>
      <c r="CY6" s="179"/>
      <c r="CZ6" s="179"/>
    </row>
    <row r="7" spans="1:104" s="178" customFormat="1" ht="23.25" customHeight="1" thickBot="1" x14ac:dyDescent="0.55000000000000004">
      <c r="A7" s="456" t="s">
        <v>331</v>
      </c>
      <c r="B7" s="187"/>
      <c r="C7" s="1041"/>
      <c r="D7" s="1042"/>
      <c r="E7" s="1042"/>
      <c r="F7" s="1043"/>
      <c r="G7" s="578" t="s">
        <v>332</v>
      </c>
      <c r="H7" s="1044"/>
      <c r="I7" s="1045"/>
      <c r="J7" s="455"/>
      <c r="K7" s="559"/>
      <c r="L7" s="183"/>
      <c r="M7" s="175"/>
      <c r="N7" s="467">
        <v>7</v>
      </c>
      <c r="O7" s="467"/>
      <c r="P7" s="467"/>
      <c r="Q7" s="467"/>
      <c r="R7" s="467"/>
      <c r="S7" s="467"/>
      <c r="T7" s="467"/>
      <c r="U7" s="467"/>
      <c r="V7" s="467"/>
      <c r="W7" s="467"/>
      <c r="X7" s="467"/>
      <c r="Y7" s="467"/>
      <c r="Z7" s="467">
        <v>0.80000000100000002</v>
      </c>
      <c r="AA7" s="467">
        <v>0.9</v>
      </c>
      <c r="AB7" s="741" t="e">
        <f>IF($K$30&lt;Z7,"",IF($K$30&gt;AA7,"","LTV Variable - Homeloan &gt;80% LTV &lt;= 90% LTV"))</f>
        <v>#DIV/0!</v>
      </c>
      <c r="AC7" s="742">
        <v>4.4499999999999998E-2</v>
      </c>
      <c r="AD7" s="743">
        <v>0.9</v>
      </c>
      <c r="AE7" s="754"/>
      <c r="AF7" s="754"/>
      <c r="AG7" s="754"/>
      <c r="AH7" s="754"/>
      <c r="AI7" s="754"/>
      <c r="AJ7" s="754"/>
      <c r="AK7" s="754"/>
      <c r="AL7" s="754"/>
      <c r="AM7" s="176"/>
      <c r="AN7" s="176"/>
      <c r="AO7" s="176"/>
      <c r="AP7" s="176"/>
      <c r="AQ7" s="176"/>
      <c r="AR7" s="176"/>
      <c r="AS7" s="176"/>
      <c r="AT7" s="176"/>
      <c r="AU7" s="176"/>
      <c r="AV7" s="176"/>
      <c r="AW7" s="176">
        <f t="shared" si="0"/>
        <v>7</v>
      </c>
      <c r="AX7" s="176"/>
      <c r="AY7" s="176"/>
      <c r="AZ7" s="176"/>
      <c r="BA7" s="176"/>
      <c r="BN7" s="179"/>
      <c r="BO7" s="179"/>
      <c r="BP7" s="179"/>
      <c r="BQ7" s="179"/>
      <c r="BR7" s="179"/>
      <c r="BS7" s="179"/>
      <c r="BT7" s="179"/>
      <c r="BU7" s="179"/>
      <c r="BV7" s="179"/>
      <c r="BW7" s="179"/>
      <c r="BX7" s="179"/>
      <c r="BY7" s="179"/>
      <c r="BZ7" s="179"/>
      <c r="CA7" s="179"/>
      <c r="CB7" s="179"/>
      <c r="CC7" s="179"/>
      <c r="CD7" s="179"/>
      <c r="CE7" s="179"/>
      <c r="CF7" s="179"/>
      <c r="CG7" s="179"/>
      <c r="CM7" s="179"/>
      <c r="CN7" s="179"/>
      <c r="CO7" s="179"/>
      <c r="CP7" s="179"/>
      <c r="CQ7" s="179"/>
      <c r="CR7" s="179"/>
      <c r="CS7" s="179"/>
      <c r="CT7" s="179"/>
      <c r="CU7" s="179"/>
      <c r="CV7" s="179"/>
      <c r="CW7" s="179"/>
      <c r="CX7" s="179"/>
      <c r="CY7" s="179"/>
      <c r="CZ7" s="179"/>
    </row>
    <row r="8" spans="1:104" s="178" customFormat="1" ht="17.25" customHeight="1" thickBot="1" x14ac:dyDescent="0.55000000000000004">
      <c r="A8" s="453"/>
      <c r="B8" s="454"/>
      <c r="C8" s="579"/>
      <c r="D8" s="579"/>
      <c r="E8" s="579"/>
      <c r="F8" s="579"/>
      <c r="G8" s="580"/>
      <c r="H8" s="579"/>
      <c r="I8" s="579"/>
      <c r="J8" s="579"/>
      <c r="K8" s="188"/>
      <c r="L8" s="183"/>
      <c r="M8" s="175"/>
      <c r="N8" s="467"/>
      <c r="O8" s="467"/>
      <c r="P8" s="467"/>
      <c r="Q8" s="467"/>
      <c r="R8" s="467"/>
      <c r="S8" s="467"/>
      <c r="T8" s="467"/>
      <c r="U8" s="467"/>
      <c r="V8" s="467"/>
      <c r="W8" s="467"/>
      <c r="X8" s="467"/>
      <c r="Y8" s="467"/>
      <c r="Z8" s="467"/>
      <c r="AA8" s="467"/>
      <c r="AB8" s="741"/>
      <c r="AC8" s="744"/>
      <c r="AD8" s="745"/>
      <c r="AE8" s="754"/>
      <c r="AF8" s="754"/>
      <c r="AG8" s="754"/>
      <c r="AH8" s="754"/>
      <c r="AI8" s="754"/>
      <c r="AJ8" s="754"/>
      <c r="AK8" s="754"/>
      <c r="AL8" s="754"/>
      <c r="AM8" s="176"/>
      <c r="AN8" s="176"/>
      <c r="AO8" s="176"/>
      <c r="AP8" s="176"/>
      <c r="AQ8" s="176"/>
      <c r="AR8" s="176"/>
      <c r="AS8" s="176"/>
      <c r="AT8" s="176"/>
      <c r="AU8" s="176"/>
      <c r="AV8" s="176"/>
      <c r="AW8" s="176"/>
      <c r="AX8" s="176"/>
      <c r="AY8" s="176"/>
      <c r="AZ8" s="176"/>
      <c r="BA8" s="176"/>
      <c r="BN8" s="179"/>
      <c r="BO8" s="179"/>
      <c r="BP8" s="179"/>
      <c r="BQ8" s="179"/>
      <c r="BR8" s="179"/>
      <c r="BS8" s="179"/>
      <c r="BT8" s="179"/>
      <c r="BU8" s="179"/>
      <c r="BV8" s="179"/>
      <c r="BW8" s="179"/>
      <c r="BX8" s="179"/>
      <c r="BY8" s="179"/>
      <c r="BZ8" s="179"/>
      <c r="CA8" s="179"/>
      <c r="CB8" s="179"/>
      <c r="CC8" s="179"/>
      <c r="CD8" s="179"/>
      <c r="CE8" s="179"/>
      <c r="CF8" s="179"/>
      <c r="CG8" s="179"/>
      <c r="CM8" s="179"/>
      <c r="CN8" s="179"/>
      <c r="CO8" s="179"/>
      <c r="CP8" s="179"/>
      <c r="CQ8" s="179"/>
      <c r="CR8" s="179"/>
      <c r="CS8" s="179"/>
      <c r="CT8" s="179"/>
      <c r="CU8" s="179"/>
      <c r="CV8" s="179"/>
      <c r="CW8" s="179"/>
      <c r="CX8" s="179"/>
      <c r="CY8" s="179"/>
      <c r="CZ8" s="179"/>
    </row>
    <row r="9" spans="1:104" s="178" customFormat="1" ht="23.25" customHeight="1" thickBot="1" x14ac:dyDescent="0.55000000000000004">
      <c r="A9" s="1048" t="s">
        <v>330</v>
      </c>
      <c r="B9" s="1049"/>
      <c r="C9" s="1070"/>
      <c r="D9" s="1071"/>
      <c r="E9" s="560"/>
      <c r="F9" s="560"/>
      <c r="G9" s="560"/>
      <c r="H9" s="560"/>
      <c r="I9" s="1050" t="s">
        <v>255</v>
      </c>
      <c r="J9" s="1051"/>
      <c r="K9" s="584"/>
      <c r="L9" s="183"/>
      <c r="M9" s="175"/>
      <c r="N9" s="467"/>
      <c r="O9" s="467"/>
      <c r="P9" s="467"/>
      <c r="Q9" s="467"/>
      <c r="R9" s="467"/>
      <c r="S9" s="467"/>
      <c r="T9" s="467"/>
      <c r="U9" s="467"/>
      <c r="V9" s="467"/>
      <c r="W9" s="467"/>
      <c r="X9" s="467"/>
      <c r="Y9" s="467"/>
      <c r="Z9" s="467"/>
      <c r="AA9" s="467"/>
      <c r="AB9" s="741"/>
      <c r="AC9" s="744"/>
      <c r="AD9" s="745"/>
      <c r="AE9" s="754"/>
      <c r="AF9" s="754"/>
      <c r="AG9" s="754"/>
      <c r="AH9" s="754"/>
      <c r="AI9" s="754"/>
      <c r="AJ9" s="754"/>
      <c r="AK9" s="754"/>
      <c r="AL9" s="754"/>
      <c r="AM9" s="176"/>
      <c r="AN9" s="176"/>
      <c r="AO9" s="176"/>
      <c r="AP9" s="176"/>
      <c r="AQ9" s="176"/>
      <c r="AR9" s="176"/>
      <c r="AS9" s="176"/>
      <c r="AT9" s="176"/>
      <c r="AU9" s="176"/>
      <c r="AV9" s="176"/>
      <c r="AW9" s="176"/>
      <c r="AX9" s="176"/>
      <c r="AY9" s="176"/>
      <c r="AZ9" s="176"/>
      <c r="BA9" s="176"/>
      <c r="BN9" s="179"/>
      <c r="BO9" s="179"/>
      <c r="BP9" s="179"/>
      <c r="BQ9" s="179"/>
      <c r="BR9" s="179"/>
      <c r="BS9" s="179"/>
      <c r="BT9" s="179"/>
      <c r="BU9" s="179"/>
      <c r="BV9" s="179"/>
      <c r="BW9" s="179"/>
      <c r="BX9" s="179"/>
      <c r="BY9" s="179"/>
      <c r="BZ9" s="179"/>
      <c r="CA9" s="179"/>
      <c r="CB9" s="179"/>
      <c r="CC9" s="179"/>
      <c r="CD9" s="179"/>
      <c r="CE9" s="179"/>
      <c r="CF9" s="179"/>
      <c r="CG9" s="179"/>
      <c r="CM9" s="179"/>
      <c r="CN9" s="179"/>
      <c r="CO9" s="179"/>
      <c r="CP9" s="179"/>
      <c r="CQ9" s="179"/>
      <c r="CR9" s="179"/>
      <c r="CS9" s="179"/>
      <c r="CT9" s="179"/>
      <c r="CU9" s="179"/>
      <c r="CV9" s="179"/>
      <c r="CW9" s="179"/>
      <c r="CX9" s="179"/>
      <c r="CY9" s="179"/>
      <c r="CZ9" s="179"/>
    </row>
    <row r="10" spans="1:104" s="193" customFormat="1" ht="10.5" customHeight="1" x14ac:dyDescent="0.45">
      <c r="A10" s="189"/>
      <c r="B10" s="190"/>
      <c r="C10" s="190"/>
      <c r="D10" s="190"/>
      <c r="E10" s="190"/>
      <c r="F10" s="190"/>
      <c r="G10" s="190"/>
      <c r="H10" s="190"/>
      <c r="I10" s="190"/>
      <c r="J10" s="190"/>
      <c r="K10" s="190"/>
      <c r="L10" s="251"/>
      <c r="M10" s="175"/>
      <c r="N10" s="468">
        <v>8</v>
      </c>
      <c r="O10" s="468"/>
      <c r="P10" s="468"/>
      <c r="Q10" s="468"/>
      <c r="R10" s="468"/>
      <c r="S10" s="468"/>
      <c r="T10" s="468"/>
      <c r="U10" s="468"/>
      <c r="V10" s="468"/>
      <c r="W10" s="468"/>
      <c r="X10" s="468"/>
      <c r="Y10" s="468"/>
      <c r="Z10" s="469">
        <v>0</v>
      </c>
      <c r="AA10" s="469">
        <v>0.9</v>
      </c>
      <c r="AB10" s="741" t="e">
        <f>IF($K$30&lt;Z10,"",IF($K$30&gt;AA10,"","Nama New Business Variable"))</f>
        <v>#DIV/0!</v>
      </c>
      <c r="AC10" s="737">
        <v>4.3400000000000001E-2</v>
      </c>
      <c r="AD10" s="746">
        <v>0</v>
      </c>
      <c r="AE10" s="756"/>
      <c r="AF10" s="756"/>
      <c r="AG10" s="756"/>
      <c r="AH10" s="756"/>
      <c r="AI10" s="756"/>
      <c r="AJ10" s="756"/>
      <c r="AK10" s="756"/>
      <c r="AL10" s="756"/>
      <c r="AM10" s="191"/>
      <c r="AN10" s="191"/>
      <c r="AO10" s="191"/>
      <c r="AP10" s="191"/>
      <c r="AQ10" s="191"/>
      <c r="AR10" s="191"/>
      <c r="AS10" s="191"/>
      <c r="AT10" s="191"/>
      <c r="AU10" s="191"/>
      <c r="AV10" s="191"/>
      <c r="AW10" s="191"/>
      <c r="AX10" s="191"/>
      <c r="AY10" s="191"/>
      <c r="AZ10" s="191"/>
      <c r="BA10" s="191"/>
    </row>
    <row r="11" spans="1:104" s="178" customFormat="1" ht="12" customHeight="1" x14ac:dyDescent="0.5">
      <c r="A11" s="194"/>
      <c r="B11" s="195"/>
      <c r="C11" s="195"/>
      <c r="D11" s="195"/>
      <c r="E11" s="195"/>
      <c r="F11" s="195"/>
      <c r="G11" s="195"/>
      <c r="H11" s="195"/>
      <c r="I11" s="196"/>
      <c r="J11" s="197"/>
      <c r="K11" s="197"/>
      <c r="L11" s="852"/>
      <c r="M11" s="175"/>
      <c r="N11" s="467">
        <v>9</v>
      </c>
      <c r="O11" s="470"/>
      <c r="P11" s="467"/>
      <c r="Q11" s="467"/>
      <c r="R11" s="467"/>
      <c r="S11" s="467"/>
      <c r="T11" s="467"/>
      <c r="U11" s="467"/>
      <c r="V11" s="467"/>
      <c r="W11" s="467"/>
      <c r="X11" s="467"/>
      <c r="Y11" s="467"/>
      <c r="Z11" s="467">
        <v>0</v>
      </c>
      <c r="AA11" s="467">
        <v>0.85</v>
      </c>
      <c r="AB11" s="741" t="e">
        <f>IF($K$30&lt;Z11,"",IF($K$30&gt;AA11,"","Mortgage Top Up Equity Release"))</f>
        <v>#DIV/0!</v>
      </c>
      <c r="AC11" s="742">
        <v>4.3400000000000001E-2</v>
      </c>
      <c r="AD11" s="747">
        <v>0</v>
      </c>
      <c r="AE11" s="754"/>
      <c r="AF11" s="754"/>
      <c r="AG11" s="754"/>
      <c r="AH11" s="754"/>
      <c r="AI11" s="754"/>
      <c r="AJ11" s="754"/>
      <c r="AK11" s="754"/>
      <c r="AL11" s="754"/>
      <c r="AM11" s="176"/>
      <c r="AN11" s="176"/>
      <c r="AO11" s="176"/>
      <c r="AP11" s="176"/>
      <c r="AQ11" s="176"/>
      <c r="AR11" s="176"/>
      <c r="AS11" s="176"/>
      <c r="AT11" s="176"/>
      <c r="AU11" s="176"/>
      <c r="AV11" s="176"/>
      <c r="AW11" s="176">
        <f>AW7+1</f>
        <v>8</v>
      </c>
      <c r="AX11" s="176"/>
      <c r="AY11" s="176"/>
      <c r="AZ11" s="176"/>
      <c r="BA11" s="176"/>
      <c r="BN11" s="179"/>
      <c r="BO11" s="179"/>
      <c r="BP11" s="179"/>
      <c r="BQ11" s="179"/>
      <c r="BR11" s="179"/>
      <c r="BS11" s="179"/>
      <c r="BT11" s="179"/>
      <c r="BU11" s="179"/>
      <c r="BV11" s="179"/>
      <c r="BW11" s="179"/>
      <c r="BX11" s="179"/>
      <c r="BY11" s="179"/>
      <c r="BZ11" s="179"/>
      <c r="CA11" s="179"/>
      <c r="CB11" s="179"/>
      <c r="CC11" s="179"/>
      <c r="CD11" s="179"/>
      <c r="CE11" s="179"/>
      <c r="CF11" s="179"/>
      <c r="CG11" s="179"/>
      <c r="CM11" s="179"/>
      <c r="CN11" s="179"/>
      <c r="CO11" s="179"/>
      <c r="CP11" s="179"/>
      <c r="CQ11" s="179"/>
      <c r="CR11" s="179"/>
      <c r="CS11" s="179"/>
      <c r="CT11" s="179"/>
      <c r="CU11" s="179"/>
      <c r="CV11" s="179"/>
      <c r="CW11" s="179"/>
      <c r="CX11" s="179"/>
      <c r="CY11" s="179"/>
      <c r="CZ11" s="179"/>
    </row>
    <row r="12" spans="1:104" s="178" customFormat="1" ht="21" hidden="1" x14ac:dyDescent="0.5">
      <c r="A12" s="1074" t="s">
        <v>208</v>
      </c>
      <c r="B12" s="1075"/>
      <c r="C12" s="1075"/>
      <c r="D12" s="1075"/>
      <c r="E12" s="1075"/>
      <c r="F12" s="1075"/>
      <c r="G12" s="1075"/>
      <c r="H12" s="1075"/>
      <c r="I12" s="1075"/>
      <c r="J12" s="1075"/>
      <c r="K12" s="1075"/>
      <c r="L12" s="1076"/>
      <c r="M12" s="175"/>
      <c r="N12" s="467">
        <v>10</v>
      </c>
      <c r="O12" s="467"/>
      <c r="P12" s="467"/>
      <c r="Q12" s="467"/>
      <c r="R12" s="467"/>
      <c r="S12" s="467"/>
      <c r="T12" s="467"/>
      <c r="U12" s="467"/>
      <c r="V12" s="467"/>
      <c r="W12" s="467"/>
      <c r="X12" s="467"/>
      <c r="Y12" s="467"/>
      <c r="Z12" s="467"/>
      <c r="AA12" s="467"/>
      <c r="AB12" s="748"/>
      <c r="AC12" s="742"/>
      <c r="AD12" s="747"/>
      <c r="AE12" s="754"/>
      <c r="AF12" s="754"/>
      <c r="AG12" s="754"/>
      <c r="AH12" s="754"/>
      <c r="AI12" s="754"/>
      <c r="AJ12" s="754"/>
      <c r="AK12" s="754"/>
      <c r="AL12" s="754"/>
      <c r="AM12" s="176"/>
      <c r="AN12" s="176"/>
      <c r="AO12" s="176"/>
      <c r="AP12" s="176"/>
      <c r="AQ12" s="176"/>
      <c r="AR12" s="176"/>
      <c r="AS12" s="176"/>
      <c r="AT12" s="176"/>
      <c r="AU12" s="176"/>
      <c r="AV12" s="176"/>
      <c r="AW12" s="176">
        <f t="shared" si="0"/>
        <v>9</v>
      </c>
      <c r="AX12" s="176"/>
      <c r="AY12" s="176"/>
      <c r="AZ12" s="176"/>
      <c r="BA12" s="176"/>
      <c r="BN12" s="179"/>
      <c r="BO12" s="179"/>
      <c r="BP12" s="179"/>
      <c r="BQ12" s="179"/>
      <c r="BR12" s="179"/>
      <c r="BS12" s="179"/>
      <c r="BT12" s="179"/>
      <c r="BU12" s="179"/>
      <c r="BV12" s="179"/>
      <c r="BW12" s="179"/>
      <c r="BX12" s="179"/>
      <c r="BY12" s="179"/>
      <c r="BZ12" s="179"/>
      <c r="CA12" s="179"/>
      <c r="CB12" s="179"/>
      <c r="CC12" s="179"/>
      <c r="CD12" s="179"/>
      <c r="CE12" s="179"/>
      <c r="CF12" s="179"/>
      <c r="CG12" s="179"/>
      <c r="CM12" s="179"/>
      <c r="CN12" s="179"/>
      <c r="CO12" s="179"/>
      <c r="CP12" s="179"/>
      <c r="CQ12" s="179"/>
      <c r="CR12" s="179"/>
      <c r="CS12" s="179"/>
      <c r="CT12" s="179"/>
      <c r="CU12" s="179"/>
      <c r="CV12" s="179"/>
      <c r="CW12" s="179"/>
      <c r="CX12" s="179"/>
      <c r="CY12" s="179"/>
      <c r="CZ12" s="179"/>
    </row>
    <row r="13" spans="1:104" s="178" customFormat="1" ht="21" hidden="1" x14ac:dyDescent="0.5">
      <c r="A13" s="198" t="s">
        <v>123</v>
      </c>
      <c r="B13" s="199"/>
      <c r="C13" s="199"/>
      <c r="D13" s="199"/>
      <c r="E13" s="199"/>
      <c r="F13" s="199"/>
      <c r="G13" s="200"/>
      <c r="H13" s="179"/>
      <c r="I13" s="202" t="str">
        <f>IF(K1="No","Sorry - we are not in a position to provide AIP", " ")</f>
        <v xml:space="preserve"> </v>
      </c>
      <c r="J13" s="203"/>
      <c r="K13" s="203"/>
      <c r="L13" s="204"/>
      <c r="M13" s="175"/>
      <c r="N13" s="467"/>
      <c r="O13" s="467"/>
      <c r="P13" s="467"/>
      <c r="Q13" s="467"/>
      <c r="R13" s="467"/>
      <c r="S13" s="467"/>
      <c r="T13" s="467"/>
      <c r="U13" s="467"/>
      <c r="V13" s="467"/>
      <c r="W13" s="467"/>
      <c r="X13" s="467"/>
      <c r="Y13" s="467"/>
      <c r="Z13" s="467"/>
      <c r="AA13" s="467"/>
      <c r="AB13" s="748"/>
      <c r="AC13" s="742"/>
      <c r="AD13" s="747"/>
      <c r="AE13" s="754"/>
      <c r="AF13" s="754"/>
      <c r="AG13" s="754"/>
      <c r="AH13" s="754"/>
      <c r="AI13" s="754"/>
      <c r="AJ13" s="754"/>
      <c r="AK13" s="754"/>
      <c r="AL13" s="754"/>
      <c r="AM13" s="176"/>
      <c r="AN13" s="176"/>
      <c r="AO13" s="176"/>
      <c r="AP13" s="176"/>
      <c r="AQ13" s="176"/>
      <c r="AR13" s="176"/>
      <c r="AS13" s="176"/>
      <c r="AT13" s="176"/>
      <c r="AU13" s="176"/>
      <c r="AV13" s="176"/>
      <c r="AW13" s="176"/>
      <c r="AX13" s="176"/>
      <c r="AY13" s="176"/>
      <c r="AZ13" s="176"/>
      <c r="BA13" s="176"/>
      <c r="BN13" s="179"/>
      <c r="BO13" s="179"/>
      <c r="BP13" s="179"/>
      <c r="BQ13" s="179"/>
      <c r="BR13" s="179"/>
      <c r="BS13" s="179"/>
      <c r="BT13" s="179"/>
      <c r="BU13" s="179"/>
      <c r="BV13" s="179"/>
      <c r="BW13" s="179"/>
      <c r="BX13" s="179"/>
      <c r="BY13" s="179"/>
      <c r="BZ13" s="179"/>
      <c r="CA13" s="179"/>
      <c r="CB13" s="179"/>
      <c r="CC13" s="179"/>
      <c r="CD13" s="179"/>
      <c r="CE13" s="179"/>
      <c r="CF13" s="179"/>
      <c r="CG13" s="179"/>
      <c r="CM13" s="179"/>
      <c r="CN13" s="179"/>
      <c r="CO13" s="179"/>
      <c r="CP13" s="179"/>
      <c r="CQ13" s="179"/>
      <c r="CR13" s="179"/>
      <c r="CS13" s="179"/>
      <c r="CT13" s="179"/>
      <c r="CU13" s="179"/>
      <c r="CV13" s="179"/>
      <c r="CW13" s="179"/>
      <c r="CX13" s="179"/>
      <c r="CY13" s="179"/>
      <c r="CZ13" s="179"/>
    </row>
    <row r="14" spans="1:104" s="193" customFormat="1" ht="21" hidden="1" x14ac:dyDescent="0.5">
      <c r="A14" s="205" t="s">
        <v>124</v>
      </c>
      <c r="B14" s="206"/>
      <c r="C14" s="206"/>
      <c r="D14" s="206"/>
      <c r="E14" s="206"/>
      <c r="F14" s="206"/>
      <c r="G14" s="207"/>
      <c r="I14" s="208" t="str">
        <f>IF(K3="No","Sorry - we are not in a position to provide AIP", " ")</f>
        <v xml:space="preserve"> </v>
      </c>
      <c r="J14" s="209"/>
      <c r="K14" s="209"/>
      <c r="L14" s="210"/>
      <c r="M14" s="175"/>
      <c r="N14" s="468">
        <f>IF(C7&gt;35,1,0)</f>
        <v>0</v>
      </c>
      <c r="O14" s="468"/>
      <c r="P14" s="468"/>
      <c r="Q14" s="468"/>
      <c r="R14" s="468"/>
      <c r="S14" s="468"/>
      <c r="T14" s="468"/>
      <c r="U14" s="468"/>
      <c r="V14" s="468"/>
      <c r="W14" s="468"/>
      <c r="X14" s="468"/>
      <c r="Y14" s="468"/>
      <c r="Z14" s="469"/>
      <c r="AA14" s="469"/>
      <c r="AB14" s="738"/>
      <c r="AC14" s="738"/>
      <c r="AD14" s="738"/>
      <c r="AE14" s="756"/>
      <c r="AF14" s="756"/>
      <c r="AG14" s="756"/>
      <c r="AH14" s="756"/>
      <c r="AI14" s="756"/>
      <c r="AJ14" s="756"/>
      <c r="AK14" s="756"/>
      <c r="AL14" s="756"/>
      <c r="AM14" s="191"/>
      <c r="AN14" s="191"/>
      <c r="AO14" s="191"/>
      <c r="AP14" s="191"/>
      <c r="AQ14" s="191"/>
      <c r="AR14" s="191"/>
      <c r="AS14" s="191"/>
      <c r="AT14" s="191"/>
      <c r="AU14" s="191"/>
      <c r="AV14" s="191"/>
      <c r="AW14" s="191"/>
      <c r="AX14" s="191"/>
      <c r="AY14" s="191"/>
      <c r="AZ14" s="191"/>
      <c r="BA14" s="191"/>
    </row>
    <row r="15" spans="1:104" s="193" customFormat="1" ht="23.25" hidden="1" customHeight="1" thickBot="1" x14ac:dyDescent="0.55000000000000004">
      <c r="A15" s="194"/>
      <c r="B15" s="195"/>
      <c r="C15" s="195"/>
      <c r="D15" s="195"/>
      <c r="E15" s="195"/>
      <c r="F15" s="195"/>
      <c r="G15" s="195"/>
      <c r="H15" s="195"/>
      <c r="I15" s="196"/>
      <c r="J15" s="197"/>
      <c r="K15" s="197"/>
      <c r="L15" s="211"/>
      <c r="M15" s="175"/>
      <c r="N15" s="468"/>
      <c r="O15" s="468"/>
      <c r="P15" s="468"/>
      <c r="Q15" s="468"/>
      <c r="R15" s="468"/>
      <c r="S15" s="468"/>
      <c r="T15" s="468"/>
      <c r="U15" s="468"/>
      <c r="V15" s="468"/>
      <c r="W15" s="468"/>
      <c r="X15" s="468"/>
      <c r="Y15" s="468"/>
      <c r="Z15" s="468"/>
      <c r="AA15" s="468"/>
      <c r="AB15" s="748"/>
      <c r="AC15" s="742"/>
      <c r="AD15" s="749"/>
      <c r="AE15" s="756"/>
      <c r="AF15" s="756"/>
      <c r="AG15" s="756"/>
      <c r="AH15" s="756"/>
      <c r="AI15" s="756"/>
      <c r="AJ15" s="756"/>
      <c r="AK15" s="756"/>
      <c r="AL15" s="756"/>
      <c r="AM15" s="191"/>
      <c r="AN15" s="191"/>
      <c r="AO15" s="191"/>
      <c r="AP15" s="191"/>
      <c r="AQ15" s="191"/>
      <c r="AR15" s="191"/>
      <c r="AS15" s="191"/>
      <c r="AT15" s="191"/>
      <c r="AU15" s="191"/>
      <c r="AV15" s="191">
        <v>60</v>
      </c>
      <c r="AW15" s="191">
        <f>AW14+1</f>
        <v>1</v>
      </c>
      <c r="AX15" s="191"/>
      <c r="AY15" s="191"/>
      <c r="AZ15" s="191"/>
      <c r="BA15" s="191"/>
    </row>
    <row r="16" spans="1:104" s="193" customFormat="1" ht="20.25" hidden="1" customHeight="1" x14ac:dyDescent="0.5">
      <c r="A16" s="1074" t="s">
        <v>144</v>
      </c>
      <c r="B16" s="1075"/>
      <c r="C16" s="1075"/>
      <c r="D16" s="1075"/>
      <c r="E16" s="1075"/>
      <c r="F16" s="1075"/>
      <c r="G16" s="1075"/>
      <c r="H16" s="1075"/>
      <c r="I16" s="1075"/>
      <c r="J16" s="1075"/>
      <c r="K16" s="1075"/>
      <c r="L16" s="1077"/>
      <c r="M16" s="175"/>
      <c r="N16" s="468"/>
      <c r="O16" s="468"/>
      <c r="P16" s="468"/>
      <c r="Q16" s="468" t="s">
        <v>32</v>
      </c>
      <c r="R16" s="468" t="e">
        <f>IF((#REF!+#REF!)&gt;100000,3000,IF((#REF!+#REF!)&gt;75000,2750,IF((#REF!+#REF!)&gt;0,2500)))</f>
        <v>#REF!</v>
      </c>
      <c r="S16" s="468"/>
      <c r="T16" s="468"/>
      <c r="U16" s="468"/>
      <c r="V16" s="468"/>
      <c r="W16" s="468"/>
      <c r="X16" s="468"/>
      <c r="Y16" s="468"/>
      <c r="Z16" s="468"/>
      <c r="AA16" s="468"/>
      <c r="AB16" s="750"/>
      <c r="AC16" s="751"/>
      <c r="AD16" s="749"/>
      <c r="AE16" s="756"/>
      <c r="AF16" s="756"/>
      <c r="AG16" s="756"/>
      <c r="AH16" s="756"/>
      <c r="AI16" s="756"/>
      <c r="AJ16" s="756"/>
      <c r="AK16" s="756"/>
      <c r="AL16" s="756"/>
      <c r="AM16" s="191"/>
      <c r="AN16" s="191"/>
      <c r="AO16" s="191"/>
      <c r="AP16" s="191"/>
      <c r="AQ16" s="191"/>
      <c r="AR16" s="191"/>
      <c r="AS16" s="191"/>
      <c r="AT16" s="191"/>
      <c r="AU16" s="191"/>
      <c r="AV16" s="191">
        <v>70</v>
      </c>
      <c r="AW16" s="191">
        <f>AW15+1</f>
        <v>2</v>
      </c>
      <c r="AX16" s="191"/>
      <c r="AY16" s="191"/>
      <c r="AZ16" s="191"/>
      <c r="BA16" s="191"/>
    </row>
    <row r="17" spans="1:104" s="193" customFormat="1" ht="20.25" hidden="1" customHeight="1" x14ac:dyDescent="0.5">
      <c r="A17" s="212" t="s">
        <v>131</v>
      </c>
      <c r="B17" s="213"/>
      <c r="C17" s="213"/>
      <c r="D17" s="213"/>
      <c r="E17" s="213"/>
      <c r="F17" s="214"/>
      <c r="G17" s="215"/>
      <c r="H17" s="201">
        <v>1</v>
      </c>
      <c r="I17" s="216"/>
      <c r="J17" s="217"/>
      <c r="K17" s="217"/>
      <c r="L17" s="218"/>
      <c r="M17" s="175"/>
      <c r="N17" s="468"/>
      <c r="O17" s="468"/>
      <c r="P17" s="468"/>
      <c r="Q17" s="468"/>
      <c r="R17" s="468"/>
      <c r="S17" s="468"/>
      <c r="T17" s="468"/>
      <c r="U17" s="468"/>
      <c r="V17" s="468"/>
      <c r="W17" s="468"/>
      <c r="X17" s="468"/>
      <c r="Y17" s="468"/>
      <c r="Z17" s="468"/>
      <c r="AA17" s="468"/>
      <c r="AB17" s="750"/>
      <c r="AC17" s="751"/>
      <c r="AD17" s="749"/>
      <c r="AE17" s="756"/>
      <c r="AF17" s="756"/>
      <c r="AG17" s="756"/>
      <c r="AH17" s="756"/>
      <c r="AI17" s="756"/>
      <c r="AJ17" s="756"/>
      <c r="AK17" s="756"/>
      <c r="AL17" s="756"/>
      <c r="AM17" s="191"/>
      <c r="AN17" s="191"/>
      <c r="AO17" s="191"/>
      <c r="AP17" s="191"/>
      <c r="AQ17" s="191"/>
      <c r="AR17" s="191"/>
      <c r="AS17" s="191"/>
      <c r="AT17" s="191"/>
      <c r="AU17" s="191"/>
      <c r="AV17" s="191">
        <v>80</v>
      </c>
      <c r="AW17" s="191">
        <f>AW16+1</f>
        <v>3</v>
      </c>
      <c r="AX17" s="191"/>
      <c r="AY17" s="191"/>
      <c r="AZ17" s="191"/>
      <c r="BA17" s="191"/>
    </row>
    <row r="18" spans="1:104" s="178" customFormat="1" ht="21" hidden="1" x14ac:dyDescent="0.5">
      <c r="A18" s="219" t="s">
        <v>137</v>
      </c>
      <c r="B18" s="195"/>
      <c r="C18" s="195"/>
      <c r="D18" s="195"/>
      <c r="E18" s="195"/>
      <c r="F18" s="220"/>
      <c r="G18" s="221"/>
      <c r="H18" s="201">
        <v>1</v>
      </c>
      <c r="I18" s="222"/>
      <c r="J18" s="197"/>
      <c r="K18" s="197"/>
      <c r="L18" s="223"/>
      <c r="M18" s="179"/>
      <c r="N18" s="467"/>
      <c r="O18" s="467"/>
      <c r="P18" s="467"/>
      <c r="Q18" s="467"/>
      <c r="R18" s="467"/>
      <c r="S18" s="467"/>
      <c r="T18" s="467"/>
      <c r="U18" s="467"/>
      <c r="V18" s="467"/>
      <c r="W18" s="467"/>
      <c r="X18" s="467"/>
      <c r="Y18" s="467"/>
      <c r="Z18" s="467"/>
      <c r="AA18" s="467"/>
      <c r="AB18" s="749"/>
      <c r="AC18" s="749"/>
      <c r="AD18" s="749"/>
      <c r="AE18" s="754"/>
      <c r="AF18" s="754"/>
      <c r="AG18" s="754"/>
      <c r="AH18" s="754"/>
      <c r="AI18" s="754"/>
      <c r="AJ18" s="754"/>
      <c r="AK18" s="754"/>
      <c r="AL18" s="754"/>
      <c r="AM18" s="176"/>
      <c r="AN18" s="176"/>
      <c r="AO18" s="176"/>
      <c r="AP18" s="176"/>
      <c r="AQ18" s="176"/>
      <c r="AR18" s="176"/>
      <c r="AS18" s="176"/>
      <c r="AT18" s="176"/>
      <c r="AU18" s="176"/>
      <c r="AV18" s="176"/>
      <c r="AW18" s="176"/>
      <c r="AX18" s="176"/>
      <c r="AY18" s="176"/>
      <c r="AZ18" s="176"/>
      <c r="BA18" s="176"/>
      <c r="BN18" s="179"/>
      <c r="BO18" s="179"/>
      <c r="BP18" s="179"/>
      <c r="BQ18" s="179"/>
      <c r="BR18" s="179"/>
      <c r="BS18" s="179"/>
      <c r="BT18" s="179"/>
      <c r="BU18" s="179"/>
      <c r="BV18" s="179"/>
      <c r="BW18" s="179"/>
      <c r="BX18" s="179"/>
      <c r="BY18" s="179"/>
      <c r="BZ18" s="179"/>
      <c r="CA18" s="179"/>
      <c r="CB18" s="179"/>
      <c r="CC18" s="179"/>
      <c r="CD18" s="179"/>
      <c r="CE18" s="179"/>
      <c r="CF18" s="179"/>
      <c r="CG18" s="179"/>
      <c r="CM18" s="179"/>
      <c r="CN18" s="179"/>
      <c r="CO18" s="179"/>
      <c r="CP18" s="179"/>
      <c r="CQ18" s="179"/>
      <c r="CR18" s="179"/>
      <c r="CS18" s="179"/>
      <c r="CT18" s="179"/>
      <c r="CU18" s="179"/>
      <c r="CV18" s="179"/>
      <c r="CW18" s="179"/>
      <c r="CX18" s="179"/>
      <c r="CY18" s="179"/>
      <c r="CZ18" s="179"/>
    </row>
    <row r="19" spans="1:104" s="193" customFormat="1" ht="21" hidden="1" x14ac:dyDescent="0.5">
      <c r="A19" s="224" t="s">
        <v>136</v>
      </c>
      <c r="B19" s="225"/>
      <c r="C19" s="225"/>
      <c r="D19" s="225"/>
      <c r="E19" s="225"/>
      <c r="F19" s="226"/>
      <c r="G19" s="227"/>
      <c r="H19" s="201"/>
      <c r="I19" s="228" t="str">
        <f>IF(H19="No","Sorry - the application does not meet the minimum criteria", " ")</f>
        <v xml:space="preserve"> </v>
      </c>
      <c r="J19" s="229"/>
      <c r="K19" s="229"/>
      <c r="L19" s="230"/>
      <c r="M19" s="175"/>
      <c r="N19" s="468"/>
      <c r="O19" s="468"/>
      <c r="P19" s="468"/>
      <c r="Q19" s="468"/>
      <c r="R19" s="468"/>
      <c r="S19" s="468"/>
      <c r="T19" s="468"/>
      <c r="U19" s="468"/>
      <c r="V19" s="468"/>
      <c r="W19" s="468"/>
      <c r="X19" s="468"/>
      <c r="Y19" s="468"/>
      <c r="Z19" s="468"/>
      <c r="AA19" s="468"/>
      <c r="AB19" s="749"/>
      <c r="AC19" s="749"/>
      <c r="AD19" s="749"/>
      <c r="AE19" s="756"/>
      <c r="AF19" s="756"/>
      <c r="AG19" s="756"/>
      <c r="AH19" s="756"/>
      <c r="AI19" s="756"/>
      <c r="AJ19" s="756"/>
      <c r="AK19" s="756"/>
      <c r="AL19" s="756"/>
      <c r="AM19" s="191"/>
      <c r="AN19" s="191"/>
      <c r="AO19" s="191"/>
      <c r="AP19" s="191"/>
      <c r="AQ19" s="191"/>
      <c r="AR19" s="191"/>
      <c r="AS19" s="191"/>
      <c r="AT19" s="191"/>
      <c r="AU19" s="191"/>
      <c r="AV19" s="191"/>
      <c r="AW19" s="191"/>
      <c r="AX19" s="191"/>
      <c r="AY19" s="191"/>
      <c r="AZ19" s="191"/>
      <c r="BA19" s="191"/>
    </row>
    <row r="20" spans="1:104" s="193" customFormat="1" ht="21" hidden="1" x14ac:dyDescent="0.5">
      <c r="A20" s="231" t="s">
        <v>125</v>
      </c>
      <c r="B20" s="232"/>
      <c r="C20" s="232"/>
      <c r="D20" s="232"/>
      <c r="E20" s="232"/>
      <c r="G20" s="233"/>
      <c r="H20" s="201"/>
      <c r="I20" s="583" t="str">
        <f>IF(H20="No","Sorry - the application does not meet the minimum criteria", " ")</f>
        <v xml:space="preserve"> </v>
      </c>
      <c r="J20" s="234"/>
      <c r="K20" s="234"/>
      <c r="L20" s="235"/>
      <c r="M20" s="175"/>
      <c r="N20" s="468"/>
      <c r="O20" s="471"/>
      <c r="P20" s="468"/>
      <c r="Q20" s="468"/>
      <c r="R20" s="468"/>
      <c r="S20" s="468"/>
      <c r="T20" s="468"/>
      <c r="U20" s="468"/>
      <c r="V20" s="468"/>
      <c r="W20" s="468"/>
      <c r="X20" s="468"/>
      <c r="Y20" s="468"/>
      <c r="Z20" s="468"/>
      <c r="AA20" s="468"/>
      <c r="AB20" s="749"/>
      <c r="AC20" s="749"/>
      <c r="AD20" s="749"/>
      <c r="AE20" s="756"/>
      <c r="AF20" s="756"/>
      <c r="AG20" s="756"/>
      <c r="AH20" s="756"/>
      <c r="AI20" s="756"/>
      <c r="AJ20" s="756"/>
      <c r="AK20" s="756"/>
      <c r="AL20" s="756"/>
      <c r="AM20" s="191"/>
      <c r="AN20" s="191"/>
      <c r="AO20" s="191"/>
      <c r="AP20" s="191"/>
      <c r="AQ20" s="191"/>
      <c r="AR20" s="191"/>
      <c r="AS20" s="191"/>
      <c r="AT20" s="191"/>
      <c r="AU20" s="191"/>
      <c r="AV20" s="191"/>
      <c r="AW20" s="191">
        <f>AW73+1</f>
        <v>1</v>
      </c>
      <c r="AX20" s="191"/>
      <c r="AY20" s="191"/>
      <c r="AZ20" s="191"/>
      <c r="BA20" s="191"/>
    </row>
    <row r="21" spans="1:104" s="193" customFormat="1" ht="21" hidden="1" x14ac:dyDescent="0.5">
      <c r="A21" s="231" t="s">
        <v>126</v>
      </c>
      <c r="B21" s="232"/>
      <c r="C21" s="232"/>
      <c r="D21" s="232"/>
      <c r="E21" s="232"/>
      <c r="G21" s="233"/>
      <c r="H21" s="201"/>
      <c r="I21" s="583" t="str">
        <f>IF(H21="No","Sorry - the application does not meet the minimum criteria", " ")</f>
        <v xml:space="preserve"> </v>
      </c>
      <c r="J21" s="234"/>
      <c r="K21" s="234"/>
      <c r="L21" s="235"/>
      <c r="M21" s="175"/>
      <c r="N21" s="468"/>
      <c r="O21" s="468"/>
      <c r="P21" s="468"/>
      <c r="Q21" s="468"/>
      <c r="R21" s="468"/>
      <c r="S21" s="468"/>
      <c r="T21" s="468"/>
      <c r="U21" s="468"/>
      <c r="V21" s="468"/>
      <c r="W21" s="468"/>
      <c r="X21" s="468"/>
      <c r="Y21" s="468"/>
      <c r="Z21" s="468"/>
      <c r="AA21" s="468"/>
      <c r="AB21" s="749"/>
      <c r="AC21" s="749"/>
      <c r="AD21" s="749"/>
      <c r="AE21" s="756"/>
      <c r="AF21" s="756"/>
      <c r="AG21" s="756"/>
      <c r="AH21" s="756"/>
      <c r="AI21" s="756"/>
      <c r="AJ21" s="756"/>
      <c r="AK21" s="756"/>
      <c r="AL21" s="756"/>
      <c r="AM21" s="191"/>
      <c r="AN21" s="191"/>
      <c r="AO21" s="191"/>
      <c r="AP21" s="191"/>
      <c r="AQ21" s="191"/>
      <c r="AR21" s="191"/>
      <c r="AS21" s="191"/>
      <c r="AT21" s="191"/>
      <c r="AU21" s="191"/>
      <c r="AV21" s="191"/>
      <c r="AW21" s="191">
        <f>AW20+1</f>
        <v>2</v>
      </c>
      <c r="AX21" s="191"/>
      <c r="AY21" s="191"/>
      <c r="AZ21" s="191"/>
      <c r="BA21" s="191"/>
    </row>
    <row r="22" spans="1:104" s="193" customFormat="1" ht="21" hidden="1" x14ac:dyDescent="0.5">
      <c r="A22" s="231" t="s">
        <v>129</v>
      </c>
      <c r="B22" s="232"/>
      <c r="C22" s="232"/>
      <c r="D22" s="232"/>
      <c r="E22" s="232"/>
      <c r="G22" s="233"/>
      <c r="H22" s="201"/>
      <c r="I22" s="583" t="str">
        <f>IF(H22="No","Sorry - the application does not meet the minimum criteria", " ")</f>
        <v xml:space="preserve"> </v>
      </c>
      <c r="J22" s="234"/>
      <c r="K22" s="234"/>
      <c r="L22" s="235"/>
      <c r="M22" s="175"/>
      <c r="N22" s="468"/>
      <c r="O22" s="468"/>
      <c r="P22" s="468"/>
      <c r="Q22" s="468"/>
      <c r="R22" s="468"/>
      <c r="S22" s="468"/>
      <c r="T22" s="468"/>
      <c r="U22" s="468"/>
      <c r="V22" s="468"/>
      <c r="W22" s="468"/>
      <c r="X22" s="468"/>
      <c r="Y22" s="468"/>
      <c r="Z22" s="468"/>
      <c r="AA22" s="468"/>
      <c r="AB22" s="749"/>
      <c r="AC22" s="749"/>
      <c r="AD22" s="749"/>
      <c r="AE22" s="756"/>
      <c r="AF22" s="756"/>
      <c r="AG22" s="756"/>
      <c r="AH22" s="756"/>
      <c r="AI22" s="756"/>
      <c r="AJ22" s="756"/>
      <c r="AK22" s="756"/>
      <c r="AL22" s="756"/>
      <c r="AM22" s="191"/>
      <c r="AN22" s="191"/>
      <c r="AO22" s="191"/>
      <c r="AP22" s="191"/>
      <c r="AQ22" s="191"/>
      <c r="AR22" s="191"/>
      <c r="AS22" s="191"/>
      <c r="AT22" s="191"/>
      <c r="AU22" s="191"/>
      <c r="AV22" s="191"/>
      <c r="AW22" s="191">
        <f>AW21+1</f>
        <v>3</v>
      </c>
      <c r="AX22" s="191"/>
      <c r="AY22" s="191"/>
      <c r="AZ22" s="191"/>
      <c r="BA22" s="191"/>
    </row>
    <row r="23" spans="1:104" s="193" customFormat="1" ht="21" hidden="1" x14ac:dyDescent="0.5">
      <c r="A23" s="231" t="s">
        <v>127</v>
      </c>
      <c r="B23" s="232"/>
      <c r="C23" s="232"/>
      <c r="D23" s="232"/>
      <c r="E23" s="232"/>
      <c r="F23" s="232"/>
      <c r="G23" s="233"/>
      <c r="H23" s="201"/>
      <c r="I23" s="583" t="str">
        <f>IF(H23="Yes","Sorry - the application does not meet the minimum criteria", " ")</f>
        <v xml:space="preserve"> </v>
      </c>
      <c r="J23" s="234"/>
      <c r="K23" s="234"/>
      <c r="L23" s="235"/>
      <c r="M23" s="175"/>
      <c r="N23" s="468"/>
      <c r="O23" s="468"/>
      <c r="P23" s="468"/>
      <c r="Q23" s="468"/>
      <c r="R23" s="468"/>
      <c r="S23" s="468"/>
      <c r="T23" s="468"/>
      <c r="U23" s="468"/>
      <c r="V23" s="468"/>
      <c r="W23" s="468"/>
      <c r="X23" s="468"/>
      <c r="Y23" s="468"/>
      <c r="Z23" s="468"/>
      <c r="AA23" s="468"/>
      <c r="AB23" s="749"/>
      <c r="AC23" s="749"/>
      <c r="AD23" s="749"/>
      <c r="AE23" s="756"/>
      <c r="AF23" s="756"/>
      <c r="AG23" s="756"/>
      <c r="AH23" s="756"/>
      <c r="AI23" s="756"/>
      <c r="AJ23" s="756"/>
      <c r="AK23" s="756"/>
      <c r="AL23" s="756"/>
      <c r="AM23" s="191"/>
      <c r="AN23" s="191"/>
      <c r="AO23" s="191"/>
      <c r="AP23" s="191"/>
      <c r="AQ23" s="191"/>
      <c r="AR23" s="191"/>
      <c r="AS23" s="191"/>
      <c r="AT23" s="191"/>
      <c r="AU23" s="191"/>
      <c r="AV23" s="191"/>
      <c r="AW23" s="191">
        <f>AW22+1</f>
        <v>4</v>
      </c>
      <c r="AX23" s="191"/>
      <c r="AY23" s="191"/>
      <c r="AZ23" s="191"/>
      <c r="BA23" s="191"/>
    </row>
    <row r="24" spans="1:104" s="193" customFormat="1" ht="12" hidden="1" customHeight="1" x14ac:dyDescent="0.5">
      <c r="A24" s="236" t="s">
        <v>128</v>
      </c>
      <c r="B24" s="206"/>
      <c r="C24" s="206"/>
      <c r="D24" s="206"/>
      <c r="E24" s="206"/>
      <c r="F24" s="206"/>
      <c r="G24" s="207"/>
      <c r="H24" s="201"/>
      <c r="I24" s="237" t="str">
        <f>IF(H24="Yes","Sorry - the application does not meet the minimum criteria", " ")</f>
        <v xml:space="preserve"> </v>
      </c>
      <c r="J24" s="209"/>
      <c r="K24" s="209"/>
      <c r="L24" s="210"/>
      <c r="M24" s="175"/>
      <c r="N24" s="468"/>
      <c r="O24" s="468"/>
      <c r="P24" s="468"/>
      <c r="Q24" s="468"/>
      <c r="R24" s="468"/>
      <c r="S24" s="468"/>
      <c r="T24" s="468"/>
      <c r="U24" s="468"/>
      <c r="V24" s="468"/>
      <c r="W24" s="468"/>
      <c r="X24" s="468"/>
      <c r="Y24" s="468"/>
      <c r="Z24" s="468"/>
      <c r="AA24" s="468"/>
      <c r="AB24" s="749"/>
      <c r="AC24" s="749"/>
      <c r="AD24" s="749"/>
      <c r="AE24" s="756"/>
      <c r="AF24" s="756"/>
      <c r="AG24" s="756"/>
      <c r="AH24" s="756"/>
      <c r="AI24" s="756"/>
      <c r="AJ24" s="756"/>
      <c r="AK24" s="756"/>
      <c r="AL24" s="756"/>
      <c r="AM24" s="191"/>
      <c r="AN24" s="191"/>
      <c r="AO24" s="191"/>
      <c r="AP24" s="191"/>
      <c r="AQ24" s="191"/>
      <c r="AR24" s="191"/>
      <c r="AS24" s="191"/>
      <c r="AT24" s="191"/>
      <c r="AU24" s="191"/>
      <c r="AV24" s="191"/>
      <c r="AW24" s="191"/>
      <c r="AX24" s="191"/>
      <c r="AY24" s="191"/>
      <c r="AZ24" s="191"/>
      <c r="BA24" s="191"/>
    </row>
    <row r="25" spans="1:104" s="193" customFormat="1" ht="14.25" hidden="1" customHeight="1" x14ac:dyDescent="0.35">
      <c r="A25" s="238"/>
      <c r="B25" s="239"/>
      <c r="C25" s="239"/>
      <c r="D25" s="239"/>
      <c r="E25" s="239"/>
      <c r="F25" s="239"/>
      <c r="G25" s="239"/>
      <c r="H25" s="239"/>
      <c r="I25" s="239"/>
      <c r="J25" s="239"/>
      <c r="K25" s="239"/>
      <c r="L25" s="240"/>
      <c r="M25" s="175"/>
      <c r="N25" s="468">
        <f>IF(H7&gt;35,1,0)</f>
        <v>0</v>
      </c>
      <c r="O25" s="468"/>
      <c r="P25" s="468"/>
      <c r="Q25" s="468"/>
      <c r="R25" s="468"/>
      <c r="S25" s="468"/>
      <c r="T25" s="468"/>
      <c r="U25" s="468"/>
      <c r="V25" s="468"/>
      <c r="W25" s="468"/>
      <c r="X25" s="468"/>
      <c r="Y25" s="468"/>
      <c r="Z25" s="468"/>
      <c r="AA25" s="468"/>
      <c r="AB25" s="749"/>
      <c r="AC25" s="749"/>
      <c r="AD25" s="749"/>
      <c r="AE25" s="756"/>
      <c r="AF25" s="756"/>
      <c r="AG25" s="756"/>
      <c r="AH25" s="756"/>
      <c r="AI25" s="756"/>
      <c r="AJ25" s="756"/>
      <c r="AK25" s="756"/>
      <c r="AL25" s="756"/>
      <c r="AM25" s="191"/>
      <c r="AN25" s="191"/>
      <c r="AO25" s="191"/>
      <c r="AP25" s="191"/>
      <c r="AQ25" s="191"/>
      <c r="AR25" s="191"/>
      <c r="AS25" s="191"/>
      <c r="AT25" s="191"/>
      <c r="AU25" s="191"/>
      <c r="AV25" s="191"/>
      <c r="AW25" s="191"/>
      <c r="AX25" s="191"/>
      <c r="AY25" s="191"/>
      <c r="AZ25" s="191"/>
      <c r="BA25" s="191"/>
    </row>
    <row r="26" spans="1:104" s="193" customFormat="1" ht="22.5" customHeight="1" thickBot="1" x14ac:dyDescent="0.55000000000000004">
      <c r="A26" s="957" t="s">
        <v>491</v>
      </c>
      <c r="B26" s="1078"/>
      <c r="C26" s="1078"/>
      <c r="D26" s="1078"/>
      <c r="E26" s="1078"/>
      <c r="F26" s="1078"/>
      <c r="G26" s="1078"/>
      <c r="H26" s="1078"/>
      <c r="I26" s="1078"/>
      <c r="J26" s="1078"/>
      <c r="K26" s="1078"/>
      <c r="L26" s="1079"/>
      <c r="M26" s="175"/>
      <c r="N26" s="468" t="s">
        <v>152</v>
      </c>
      <c r="O26" s="468"/>
      <c r="P26" s="468"/>
      <c r="Q26" s="468"/>
      <c r="R26" s="468"/>
      <c r="S26" s="468"/>
      <c r="T26" s="468"/>
      <c r="U26" s="468"/>
      <c r="V26" s="468"/>
      <c r="W26" s="468"/>
      <c r="X26" s="468"/>
      <c r="Y26" s="468"/>
      <c r="Z26" s="468"/>
      <c r="AA26" s="468"/>
      <c r="AB26" s="752"/>
      <c r="AC26" s="752"/>
      <c r="AD26" s="752"/>
      <c r="AE26" s="756"/>
      <c r="AF26" s="756"/>
      <c r="AG26" s="756"/>
      <c r="AH26" s="756"/>
      <c r="AI26" s="756"/>
      <c r="AJ26" s="756"/>
      <c r="AK26" s="756"/>
      <c r="AL26" s="756"/>
      <c r="AM26" s="191"/>
      <c r="AN26" s="191"/>
      <c r="AO26" s="191"/>
      <c r="AP26" s="191"/>
      <c r="AQ26" s="191"/>
      <c r="AR26" s="191"/>
      <c r="AS26" s="191"/>
      <c r="AT26" s="191"/>
      <c r="AU26" s="191"/>
      <c r="AV26" s="191"/>
      <c r="AW26" s="191"/>
      <c r="AX26" s="191"/>
      <c r="AY26" s="191"/>
      <c r="AZ26" s="191"/>
      <c r="BA26" s="191"/>
    </row>
    <row r="27" spans="1:104" s="193" customFormat="1" ht="6.75" customHeight="1" thickBot="1" x14ac:dyDescent="0.4">
      <c r="A27" s="242"/>
      <c r="B27" s="243"/>
      <c r="C27" s="243"/>
      <c r="D27" s="243"/>
      <c r="E27" s="243"/>
      <c r="F27" s="243"/>
      <c r="G27" s="243"/>
      <c r="H27" s="243"/>
      <c r="I27" s="243"/>
      <c r="J27" s="243"/>
      <c r="K27" s="243"/>
      <c r="L27" s="244"/>
      <c r="M27" s="175"/>
      <c r="N27" s="468" t="s">
        <v>153</v>
      </c>
      <c r="O27" s="796"/>
      <c r="P27" s="796"/>
      <c r="Q27" s="468"/>
      <c r="R27" s="468"/>
      <c r="S27" s="468"/>
      <c r="T27" s="468"/>
      <c r="U27" s="468"/>
      <c r="V27" s="468"/>
      <c r="W27" s="468"/>
      <c r="X27" s="468"/>
      <c r="Y27" s="468"/>
      <c r="Z27" s="469"/>
      <c r="AA27" s="469"/>
      <c r="AB27" s="738"/>
      <c r="AC27" s="738"/>
      <c r="AD27" s="738"/>
      <c r="AE27" s="756"/>
      <c r="AF27" s="756"/>
      <c r="AG27" s="756"/>
      <c r="AH27" s="756"/>
      <c r="AI27" s="756"/>
      <c r="AJ27" s="756"/>
      <c r="AK27" s="756"/>
      <c r="AL27" s="756"/>
      <c r="AM27" s="191"/>
      <c r="AN27" s="191"/>
      <c r="AO27" s="191"/>
      <c r="AP27" s="191"/>
      <c r="AQ27" s="191"/>
      <c r="AR27" s="191"/>
      <c r="AS27" s="191"/>
      <c r="AT27" s="191"/>
      <c r="AU27" s="191"/>
      <c r="AV27" s="191"/>
      <c r="AW27" s="191"/>
      <c r="AX27" s="191"/>
      <c r="AY27" s="191"/>
      <c r="AZ27" s="191"/>
      <c r="BA27" s="191"/>
    </row>
    <row r="28" spans="1:104" s="193" customFormat="1" ht="22.5" customHeight="1" thickBot="1" x14ac:dyDescent="0.55000000000000004">
      <c r="A28" s="245" t="s">
        <v>80</v>
      </c>
      <c r="B28" s="181"/>
      <c r="C28" s="246"/>
      <c r="D28" s="246"/>
      <c r="E28" s="247"/>
      <c r="F28" s="179"/>
      <c r="G28" s="1080" t="s">
        <v>115</v>
      </c>
      <c r="H28" s="1080"/>
      <c r="I28" s="1080"/>
      <c r="J28" s="246"/>
      <c r="K28" s="143"/>
      <c r="L28" s="248"/>
      <c r="M28" s="175"/>
      <c r="N28" s="472" t="s">
        <v>150</v>
      </c>
      <c r="O28" s="797" t="s">
        <v>565</v>
      </c>
      <c r="P28" s="799">
        <f>IF(H30="Second Time Buyer",0,IF(E28+K28&gt;P31,1,0))</f>
        <v>0</v>
      </c>
      <c r="Q28" s="795"/>
      <c r="R28" s="468"/>
      <c r="S28" s="468"/>
      <c r="T28" s="898"/>
      <c r="U28" s="898"/>
      <c r="V28" s="468"/>
      <c r="W28" s="468"/>
      <c r="X28" s="468"/>
      <c r="Y28" s="468"/>
      <c r="Z28" s="469"/>
      <c r="AA28" s="469"/>
      <c r="AB28" s="738"/>
      <c r="AC28" s="738"/>
      <c r="AD28" s="738"/>
      <c r="AE28" s="756"/>
      <c r="AF28" s="756"/>
      <c r="AG28" s="756"/>
      <c r="AH28" s="756"/>
      <c r="AI28" s="756"/>
      <c r="AJ28" s="756"/>
      <c r="AK28" s="756"/>
      <c r="AL28" s="756"/>
      <c r="AM28" s="191"/>
      <c r="AN28" s="191"/>
      <c r="AO28" s="191"/>
      <c r="AP28" s="191"/>
      <c r="AQ28" s="191"/>
      <c r="AR28" s="191"/>
      <c r="AS28" s="191"/>
      <c r="AT28" s="191"/>
      <c r="AU28" s="191"/>
      <c r="AV28" s="191"/>
      <c r="AW28" s="191"/>
      <c r="AX28" s="191"/>
      <c r="AY28" s="191"/>
      <c r="AZ28" s="191"/>
      <c r="BA28" s="191"/>
    </row>
    <row r="29" spans="1:104" s="193" customFormat="1" ht="20.25" customHeight="1" thickBot="1" x14ac:dyDescent="0.4">
      <c r="A29" s="249"/>
      <c r="B29" s="1081" t="str">
        <f>IF(SUM(N14:N25)&gt;0,70-MAX(C7,H7),"")</f>
        <v/>
      </c>
      <c r="C29" s="1081"/>
      <c r="D29" s="562"/>
      <c r="E29" s="246"/>
      <c r="F29" s="179"/>
      <c r="G29" s="1080"/>
      <c r="H29" s="1080"/>
      <c r="I29" s="1080"/>
      <c r="J29" s="92"/>
      <c r="K29" s="250"/>
      <c r="L29" s="251"/>
      <c r="M29" s="175"/>
      <c r="N29" s="473" t="s">
        <v>151</v>
      </c>
      <c r="O29" s="797" t="s">
        <v>567</v>
      </c>
      <c r="P29" s="799">
        <f>IF(H30="First Time Buyer",0,IF(E28+K28&gt;R31,1,0))</f>
        <v>0</v>
      </c>
      <c r="Q29" s="795"/>
      <c r="R29" s="468"/>
      <c r="S29" s="894"/>
      <c r="T29" s="797" t="s">
        <v>624</v>
      </c>
      <c r="U29" s="899"/>
      <c r="V29" s="896"/>
      <c r="W29" s="468"/>
      <c r="X29" s="468"/>
      <c r="Y29" s="468"/>
      <c r="Z29" s="469"/>
      <c r="AA29" s="469"/>
      <c r="AB29" s="176"/>
      <c r="AC29" s="176"/>
      <c r="AD29" s="176"/>
      <c r="AE29" s="756"/>
      <c r="AF29" s="756"/>
      <c r="AG29" s="756"/>
      <c r="AH29" s="756"/>
      <c r="AI29" s="756"/>
      <c r="AJ29" s="756"/>
      <c r="AK29" s="756"/>
      <c r="AL29" s="756"/>
      <c r="AM29" s="191"/>
      <c r="AN29" s="191"/>
      <c r="AO29" s="191"/>
      <c r="AP29" s="191"/>
      <c r="AQ29" s="191"/>
      <c r="AR29" s="191"/>
      <c r="AS29" s="191"/>
      <c r="AT29" s="191"/>
      <c r="AU29" s="191"/>
      <c r="AV29" s="191"/>
      <c r="AW29" s="191"/>
      <c r="AX29" s="191"/>
      <c r="AY29" s="191"/>
      <c r="AZ29" s="191"/>
      <c r="BA29" s="191"/>
    </row>
    <row r="30" spans="1:104" s="259" customFormat="1" ht="24.75" customHeight="1" thickBot="1" x14ac:dyDescent="0.4">
      <c r="A30" s="245" t="s">
        <v>81</v>
      </c>
      <c r="B30" s="1082" t="str">
        <f>IF(SUM(N14:N25)&gt;0,"YEARS IS THE MAX TERM AVAILABLE BASED ON AGE of ELDEST APPLICANT!!!","")</f>
        <v/>
      </c>
      <c r="C30" s="1082"/>
      <c r="D30" s="563"/>
      <c r="E30" s="252"/>
      <c r="F30" s="246"/>
      <c r="G30" s="794" t="s">
        <v>566</v>
      </c>
      <c r="H30" s="805"/>
      <c r="I30" s="793" t="s">
        <v>102</v>
      </c>
      <c r="J30" s="246"/>
      <c r="K30" s="801" t="e">
        <f>IF(K28&gt;0,(E28+K28)/E32,E28/E32)</f>
        <v>#DIV/0!</v>
      </c>
      <c r="L30" s="254"/>
      <c r="M30" s="255"/>
      <c r="N30" s="474" t="s">
        <v>196</v>
      </c>
      <c r="O30" s="798"/>
      <c r="P30" s="800">
        <f>SUM(P28:P29)</f>
        <v>0</v>
      </c>
      <c r="Q30" s="811"/>
      <c r="R30" s="812"/>
      <c r="S30" s="895"/>
      <c r="T30" s="803" t="s">
        <v>625</v>
      </c>
      <c r="U30" s="900">
        <f>SUM(E63+K63)</f>
        <v>0</v>
      </c>
      <c r="V30" s="897"/>
      <c r="W30" s="475"/>
      <c r="X30" s="475"/>
      <c r="Y30" s="475"/>
      <c r="Z30" s="476"/>
      <c r="AA30" s="476"/>
      <c r="AB30" s="258"/>
      <c r="AC30" s="258"/>
      <c r="AD30" s="258"/>
      <c r="AE30" s="757"/>
      <c r="AF30" s="757"/>
      <c r="AG30" s="757"/>
      <c r="AH30" s="757"/>
      <c r="AI30" s="757"/>
      <c r="AJ30" s="757"/>
      <c r="AK30" s="757"/>
      <c r="AL30" s="757"/>
      <c r="AM30" s="241"/>
      <c r="AN30" s="241"/>
      <c r="AO30" s="241"/>
      <c r="AP30" s="241"/>
      <c r="AQ30" s="241"/>
      <c r="AR30" s="241"/>
      <c r="AS30" s="241"/>
      <c r="AT30" s="241"/>
      <c r="AU30" s="241"/>
      <c r="AV30" s="241"/>
      <c r="AW30" s="241"/>
      <c r="AX30" s="241"/>
      <c r="AY30" s="241"/>
      <c r="AZ30" s="241"/>
      <c r="BA30" s="241"/>
    </row>
    <row r="31" spans="1:104" s="262" customFormat="1" ht="23.25" customHeight="1" thickBot="1" x14ac:dyDescent="0.4">
      <c r="A31" s="260"/>
      <c r="B31" s="1082"/>
      <c r="C31" s="1082"/>
      <c r="D31" s="563"/>
      <c r="E31" s="261"/>
      <c r="F31" s="179"/>
      <c r="G31" s="1083" t="str">
        <f>IF(E32=0,"",IF(P28=1,"Policy Breach - Exceeds 90% Max LTV or Prudential Limit on LTV   -   over by",IF(P29=1,"Exceeds STB LTV - Unless straight switcher exceptional review only - over by","")))</f>
        <v/>
      </c>
      <c r="H31" s="1084"/>
      <c r="I31" s="1084"/>
      <c r="J31" s="1084"/>
      <c r="K31" s="807" t="str">
        <f>IF(E28=0,"",IF(P28=1,P33,IF(P29=1,P32,"")))</f>
        <v/>
      </c>
      <c r="L31" s="251"/>
      <c r="N31" s="802" t="str">
        <f>CONCATENATE(B5," ",C5)</f>
        <v xml:space="preserve"> </v>
      </c>
      <c r="O31" s="803" t="s">
        <v>570</v>
      </c>
      <c r="P31" s="804">
        <f>IF(H34="Yes",J35*90%,E32*90%)</f>
        <v>0</v>
      </c>
      <c r="Q31" s="813" t="s">
        <v>571</v>
      </c>
      <c r="R31" s="814">
        <f>IF(H34="Yes",J35*80%,E32*80%)</f>
        <v>0</v>
      </c>
      <c r="S31" s="476"/>
      <c r="T31" s="803" t="s">
        <v>626</v>
      </c>
      <c r="U31" s="901">
        <f>U30*3.5</f>
        <v>0</v>
      </c>
      <c r="V31" s="476"/>
      <c r="W31" s="476"/>
      <c r="X31" s="476"/>
      <c r="Y31" s="476"/>
      <c r="Z31" s="476"/>
      <c r="AA31" s="476"/>
      <c r="AB31" s="258"/>
      <c r="AC31" s="258"/>
      <c r="AD31" s="258"/>
      <c r="AE31" s="758"/>
      <c r="AF31" s="758"/>
      <c r="AG31" s="758"/>
      <c r="AH31" s="758"/>
      <c r="AI31" s="758"/>
      <c r="AJ31" s="758"/>
      <c r="AK31" s="758"/>
      <c r="AL31" s="758"/>
      <c r="AM31" s="257"/>
      <c r="AN31" s="257"/>
      <c r="AO31" s="257"/>
      <c r="AP31" s="257"/>
      <c r="AQ31" s="257"/>
      <c r="AR31" s="257"/>
      <c r="AS31" s="257"/>
      <c r="AT31" s="257"/>
      <c r="AU31" s="257"/>
      <c r="AV31" s="257"/>
      <c r="AW31" s="257"/>
      <c r="AX31" s="257"/>
      <c r="AY31" s="257"/>
      <c r="AZ31" s="257"/>
      <c r="BA31" s="257"/>
    </row>
    <row r="32" spans="1:104" s="262" customFormat="1" ht="25.5" customHeight="1" thickBot="1" x14ac:dyDescent="0.4">
      <c r="A32" s="245" t="s">
        <v>82</v>
      </c>
      <c r="B32" s="182"/>
      <c r="C32" s="181"/>
      <c r="D32" s="181"/>
      <c r="E32" s="247"/>
      <c r="F32" s="246"/>
      <c r="G32" s="253" t="s">
        <v>499</v>
      </c>
      <c r="H32" s="735"/>
      <c r="I32" s="734" t="s">
        <v>211</v>
      </c>
      <c r="J32" s="587"/>
      <c r="K32" s="607" t="e">
        <f>IF(H32="",AE1,IF(H32="Variable",AE1,IF(H32="1 Year Fixed",AF1,IF(H32="2 Year Fixed",AG1,IF(H32="3 Year Fixed",AH1,IF(H32="4 Year Fixed",AI1,IF(H32="5 Year Fixed",AJ1)))))))</f>
        <v>#DIV/0!</v>
      </c>
      <c r="L32" s="248"/>
      <c r="N32" s="802" t="str">
        <f>CONCATENATE(G5," ",H5)</f>
        <v xml:space="preserve"> </v>
      </c>
      <c r="O32" s="803" t="s">
        <v>568</v>
      </c>
      <c r="P32" s="804">
        <f>SUM(E28+K28)-R31</f>
        <v>0</v>
      </c>
      <c r="Q32" s="815" t="s">
        <v>572</v>
      </c>
      <c r="R32" s="815">
        <f>IF(H30="First Time Buyer",P31,IF(H30="Second Time Buyer",R31,0))</f>
        <v>0</v>
      </c>
      <c r="S32" s="476"/>
      <c r="T32" s="803" t="s">
        <v>627</v>
      </c>
      <c r="U32" s="901">
        <f>SUM(E28+K28)-U31</f>
        <v>0</v>
      </c>
      <c r="V32" s="476"/>
      <c r="W32" s="476"/>
      <c r="X32" s="476"/>
      <c r="Y32" s="476"/>
      <c r="Z32" s="476"/>
      <c r="AA32" s="476"/>
      <c r="AB32" s="258"/>
      <c r="AC32" s="258"/>
      <c r="AD32" s="258"/>
      <c r="AE32" s="758"/>
      <c r="AF32" s="758"/>
      <c r="AG32" s="758"/>
      <c r="AH32" s="758"/>
      <c r="AI32" s="758"/>
      <c r="AJ32" s="758"/>
      <c r="AK32" s="758"/>
      <c r="AL32" s="758"/>
      <c r="AM32" s="257"/>
      <c r="AN32" s="257"/>
      <c r="AO32" s="257"/>
      <c r="AP32" s="257"/>
      <c r="AQ32" s="257"/>
      <c r="AR32" s="257"/>
      <c r="AS32" s="257"/>
      <c r="AT32" s="257"/>
      <c r="AU32" s="257"/>
      <c r="AV32" s="257"/>
      <c r="AW32" s="257"/>
      <c r="AX32" s="257"/>
      <c r="AY32" s="257"/>
      <c r="AZ32" s="257"/>
      <c r="BA32" s="257"/>
    </row>
    <row r="33" spans="1:104" s="178" customFormat="1" ht="25.5" customHeight="1" thickBot="1" x14ac:dyDescent="0.4">
      <c r="A33" s="263"/>
      <c r="B33" s="264"/>
      <c r="C33" s="181"/>
      <c r="D33" s="181"/>
      <c r="E33" s="265"/>
      <c r="F33" s="264"/>
      <c r="G33" s="264"/>
      <c r="H33" s="1046"/>
      <c r="I33" s="1047"/>
      <c r="J33" s="264"/>
      <c r="K33" s="267"/>
      <c r="L33" s="254"/>
      <c r="M33" s="175"/>
      <c r="N33" s="808"/>
      <c r="O33" s="797" t="s">
        <v>569</v>
      </c>
      <c r="P33" s="810">
        <f>SUM(E28+K28)-P31</f>
        <v>0</v>
      </c>
      <c r="Q33" s="816" t="s">
        <v>573</v>
      </c>
      <c r="R33" s="817">
        <f>MIN(E28,R32)</f>
        <v>0</v>
      </c>
      <c r="S33" s="467"/>
      <c r="T33" s="467"/>
      <c r="U33" s="467"/>
      <c r="V33" s="467"/>
      <c r="W33" s="467"/>
      <c r="X33" s="467"/>
      <c r="Y33" s="467"/>
      <c r="Z33" s="467"/>
      <c r="AA33" s="467"/>
      <c r="AB33" s="176"/>
      <c r="AC33" s="176"/>
      <c r="AD33" s="176"/>
      <c r="AE33" s="754"/>
      <c r="AF33" s="754"/>
      <c r="AG33" s="754"/>
      <c r="AH33" s="754"/>
      <c r="AI33" s="754"/>
      <c r="AJ33" s="754"/>
      <c r="AK33" s="754"/>
      <c r="AL33" s="754"/>
      <c r="AM33" s="176"/>
      <c r="AN33" s="176"/>
      <c r="AO33" s="176"/>
      <c r="AP33" s="176"/>
      <c r="AQ33" s="176"/>
      <c r="AR33" s="176"/>
      <c r="AS33" s="176"/>
      <c r="AT33" s="176"/>
      <c r="AU33" s="176"/>
      <c r="AV33" s="176"/>
      <c r="AW33" s="176"/>
      <c r="AX33" s="176"/>
      <c r="AY33" s="176"/>
      <c r="AZ33" s="176"/>
      <c r="BA33" s="176"/>
      <c r="BN33" s="179"/>
      <c r="BO33" s="179"/>
      <c r="BP33" s="179"/>
      <c r="BQ33" s="179"/>
      <c r="BR33" s="179"/>
      <c r="BS33" s="179"/>
      <c r="BT33" s="179"/>
      <c r="BU33" s="179"/>
      <c r="BV33" s="179"/>
      <c r="BW33" s="179"/>
      <c r="BX33" s="179"/>
      <c r="BY33" s="179"/>
      <c r="BZ33" s="179"/>
      <c r="CA33" s="179"/>
      <c r="CB33" s="179"/>
      <c r="CC33" s="179"/>
      <c r="CD33" s="179"/>
      <c r="CE33" s="179"/>
      <c r="CF33" s="179"/>
      <c r="CG33" s="179"/>
      <c r="CM33" s="179"/>
      <c r="CN33" s="179"/>
      <c r="CO33" s="179"/>
      <c r="CP33" s="179"/>
      <c r="CQ33" s="179"/>
      <c r="CR33" s="179"/>
      <c r="CS33" s="179"/>
      <c r="CT33" s="179"/>
      <c r="CU33" s="179"/>
      <c r="CV33" s="179"/>
      <c r="CW33" s="179"/>
      <c r="CX33" s="179"/>
      <c r="CY33" s="179"/>
      <c r="CZ33" s="179"/>
    </row>
    <row r="34" spans="1:104" s="178" customFormat="1" ht="25.5" customHeight="1" thickBot="1" x14ac:dyDescent="0.55000000000000004">
      <c r="A34" s="1072" t="s">
        <v>333</v>
      </c>
      <c r="B34" s="1073"/>
      <c r="C34" s="181"/>
      <c r="D34" s="181"/>
      <c r="E34" s="561"/>
      <c r="F34" s="264"/>
      <c r="G34" s="592" t="s">
        <v>352</v>
      </c>
      <c r="H34" s="612"/>
      <c r="I34" s="593" t="s">
        <v>350</v>
      </c>
      <c r="J34" s="264"/>
      <c r="K34" s="613"/>
      <c r="L34" s="254"/>
      <c r="M34" s="463"/>
      <c r="N34" s="477" t="s">
        <v>334</v>
      </c>
      <c r="O34" s="809" t="s">
        <v>238</v>
      </c>
      <c r="P34" s="479"/>
      <c r="Q34" s="479"/>
      <c r="R34" s="479"/>
      <c r="S34" s="479"/>
      <c r="T34" s="479"/>
      <c r="U34" s="479"/>
      <c r="V34" s="479"/>
      <c r="W34" s="479"/>
      <c r="X34" s="479"/>
      <c r="Y34" s="479"/>
      <c r="Z34" s="479"/>
      <c r="AA34" s="479"/>
      <c r="AB34" s="176"/>
      <c r="AC34" s="176"/>
      <c r="AD34" s="176"/>
      <c r="AE34" s="754"/>
      <c r="AF34" s="754"/>
      <c r="AG34" s="754"/>
      <c r="AH34" s="754"/>
      <c r="AI34" s="754"/>
      <c r="AJ34" s="754"/>
      <c r="AK34" s="754"/>
      <c r="AL34" s="754"/>
      <c r="AM34" s="176"/>
      <c r="AN34" s="176"/>
      <c r="AO34" s="176"/>
      <c r="AP34" s="176"/>
      <c r="AQ34" s="176"/>
      <c r="AR34" s="176"/>
      <c r="AS34" s="176"/>
      <c r="AT34" s="176"/>
      <c r="AU34" s="176"/>
      <c r="AV34" s="176"/>
      <c r="AW34" s="176"/>
      <c r="AX34" s="176"/>
      <c r="AY34" s="176"/>
      <c r="AZ34" s="176"/>
      <c r="BA34" s="176"/>
      <c r="BN34" s="179"/>
      <c r="BO34" s="179"/>
      <c r="BP34" s="179"/>
      <c r="BQ34" s="179"/>
      <c r="BR34" s="179"/>
      <c r="BS34" s="179"/>
      <c r="BT34" s="179"/>
      <c r="BU34" s="179"/>
      <c r="BV34" s="179"/>
      <c r="BW34" s="179"/>
      <c r="BX34" s="179"/>
      <c r="BY34" s="179"/>
      <c r="BZ34" s="179"/>
      <c r="CA34" s="179"/>
      <c r="CB34" s="179"/>
      <c r="CC34" s="179"/>
      <c r="CD34" s="179"/>
      <c r="CE34" s="179"/>
      <c r="CF34" s="179"/>
      <c r="CG34" s="179"/>
      <c r="CM34" s="179"/>
      <c r="CN34" s="179"/>
      <c r="CO34" s="179"/>
      <c r="CP34" s="179"/>
      <c r="CQ34" s="179"/>
      <c r="CR34" s="179"/>
      <c r="CS34" s="179"/>
      <c r="CT34" s="179"/>
      <c r="CU34" s="179"/>
      <c r="CV34" s="179"/>
      <c r="CW34" s="179"/>
      <c r="CX34" s="179"/>
      <c r="CY34" s="179"/>
      <c r="CZ34" s="179"/>
    </row>
    <row r="35" spans="1:104" s="178" customFormat="1" ht="24.75" customHeight="1" thickBot="1" x14ac:dyDescent="0.55000000000000004">
      <c r="A35" s="263"/>
      <c r="B35" s="264"/>
      <c r="C35" s="181"/>
      <c r="D35" s="181"/>
      <c r="E35" s="1052" t="s">
        <v>559</v>
      </c>
      <c r="F35" s="1053"/>
      <c r="G35" s="1053"/>
      <c r="H35" s="266"/>
      <c r="I35" s="840" t="s">
        <v>606</v>
      </c>
      <c r="J35" s="883">
        <f>SUM(K34:K35)</f>
        <v>0</v>
      </c>
      <c r="K35" s="841"/>
      <c r="L35" s="254"/>
      <c r="M35" s="463"/>
      <c r="N35" s="477" t="s">
        <v>84</v>
      </c>
      <c r="O35" s="478">
        <f>P35</f>
        <v>0</v>
      </c>
      <c r="P35" s="480">
        <f>IF(S1="Single",1150,IF(S1="Joint",1600,0))</f>
        <v>0</v>
      </c>
      <c r="Q35" s="479"/>
      <c r="R35" s="479"/>
      <c r="S35" s="479"/>
      <c r="T35" s="479"/>
      <c r="U35" s="479"/>
      <c r="V35" s="479"/>
      <c r="W35" s="479"/>
      <c r="X35" s="479"/>
      <c r="Y35" s="479"/>
      <c r="Z35" s="479"/>
      <c r="AA35" s="479"/>
      <c r="AB35" s="176"/>
      <c r="AC35" s="176"/>
      <c r="AD35" s="176"/>
      <c r="AE35" s="754"/>
      <c r="AF35" s="754"/>
      <c r="AG35" s="754"/>
      <c r="AH35" s="754"/>
      <c r="AI35" s="754"/>
      <c r="AJ35" s="754"/>
      <c r="AK35" s="754"/>
      <c r="AL35" s="754"/>
      <c r="AM35" s="176"/>
      <c r="AN35" s="176"/>
      <c r="AO35" s="176"/>
      <c r="AP35" s="176"/>
      <c r="AQ35" s="176"/>
      <c r="AR35" s="176"/>
      <c r="AS35" s="176"/>
      <c r="AT35" s="176"/>
      <c r="AU35" s="176"/>
      <c r="AV35" s="176"/>
      <c r="AW35" s="176"/>
      <c r="AX35" s="176"/>
      <c r="AY35" s="176"/>
      <c r="AZ35" s="176"/>
      <c r="BA35" s="176"/>
      <c r="BN35" s="179"/>
      <c r="BO35" s="179"/>
      <c r="BP35" s="179"/>
      <c r="BQ35" s="179"/>
      <c r="BR35" s="179"/>
      <c r="BS35" s="179"/>
      <c r="BT35" s="179"/>
      <c r="BU35" s="179"/>
      <c r="BV35" s="179"/>
      <c r="BW35" s="179"/>
      <c r="BX35" s="179"/>
      <c r="BY35" s="179"/>
      <c r="BZ35" s="179"/>
      <c r="CA35" s="179"/>
      <c r="CB35" s="179"/>
      <c r="CC35" s="179"/>
      <c r="CD35" s="179"/>
      <c r="CE35" s="179"/>
      <c r="CF35" s="179"/>
      <c r="CG35" s="179"/>
      <c r="CM35" s="179"/>
      <c r="CN35" s="179"/>
      <c r="CO35" s="179"/>
      <c r="CP35" s="179"/>
      <c r="CQ35" s="179"/>
      <c r="CR35" s="179"/>
      <c r="CS35" s="179"/>
      <c r="CT35" s="179"/>
      <c r="CU35" s="179"/>
      <c r="CV35" s="179"/>
      <c r="CW35" s="179"/>
      <c r="CX35" s="179"/>
      <c r="CY35" s="179"/>
      <c r="CZ35" s="179"/>
    </row>
    <row r="36" spans="1:104" s="178" customFormat="1" ht="24.75" customHeight="1" thickBot="1" x14ac:dyDescent="0.55000000000000004">
      <c r="A36" s="263"/>
      <c r="B36" s="264"/>
      <c r="C36" s="181"/>
      <c r="D36" s="181"/>
      <c r="E36" s="835"/>
      <c r="F36" s="836"/>
      <c r="G36" s="592" t="s">
        <v>618</v>
      </c>
      <c r="H36" s="612"/>
      <c r="I36" s="840" t="s">
        <v>619</v>
      </c>
      <c r="J36" s="264"/>
      <c r="K36" s="887"/>
      <c r="L36" s="254"/>
      <c r="M36" s="789"/>
      <c r="N36" s="837"/>
      <c r="O36" s="838"/>
      <c r="P36" s="839"/>
      <c r="Q36" s="479"/>
      <c r="R36" s="479"/>
      <c r="S36" s="479"/>
      <c r="T36" s="479"/>
      <c r="U36" s="479"/>
      <c r="V36" s="479"/>
      <c r="W36" s="479"/>
      <c r="X36" s="479"/>
      <c r="Y36" s="479"/>
      <c r="Z36" s="479"/>
      <c r="AA36" s="479"/>
      <c r="AB36" s="176"/>
      <c r="AC36" s="176"/>
      <c r="AD36" s="176"/>
      <c r="AE36" s="754"/>
      <c r="AF36" s="754"/>
      <c r="AG36" s="754"/>
      <c r="AH36" s="754"/>
      <c r="AI36" s="754"/>
      <c r="AJ36" s="754"/>
      <c r="AK36" s="754"/>
      <c r="AL36" s="754"/>
      <c r="AM36" s="176"/>
      <c r="AN36" s="176"/>
      <c r="AO36" s="176"/>
      <c r="AP36" s="176"/>
      <c r="AQ36" s="176"/>
      <c r="AR36" s="176"/>
      <c r="AS36" s="176"/>
      <c r="AT36" s="176"/>
      <c r="AU36" s="176"/>
      <c r="AV36" s="176"/>
      <c r="AW36" s="176"/>
      <c r="AX36" s="176"/>
      <c r="AY36" s="176"/>
      <c r="AZ36" s="176"/>
      <c r="BA36" s="176"/>
      <c r="BN36" s="179"/>
      <c r="BO36" s="179"/>
      <c r="BP36" s="179"/>
      <c r="BQ36" s="179"/>
      <c r="BR36" s="179"/>
      <c r="BS36" s="179"/>
      <c r="BT36" s="179"/>
      <c r="BU36" s="179"/>
      <c r="BV36" s="179"/>
      <c r="BW36" s="179"/>
      <c r="BX36" s="179"/>
      <c r="BY36" s="179"/>
      <c r="BZ36" s="179"/>
      <c r="CA36" s="179"/>
      <c r="CB36" s="179"/>
      <c r="CC36" s="179"/>
      <c r="CD36" s="179"/>
      <c r="CE36" s="179"/>
      <c r="CF36" s="179"/>
      <c r="CG36" s="179"/>
      <c r="CM36" s="179"/>
      <c r="CN36" s="179"/>
      <c r="CO36" s="179"/>
      <c r="CP36" s="179"/>
      <c r="CQ36" s="179"/>
      <c r="CR36" s="179"/>
      <c r="CS36" s="179"/>
      <c r="CT36" s="179"/>
      <c r="CU36" s="179"/>
      <c r="CV36" s="179"/>
      <c r="CW36" s="179"/>
      <c r="CX36" s="179"/>
      <c r="CY36" s="179"/>
      <c r="CZ36" s="179"/>
    </row>
    <row r="37" spans="1:104" s="178" customFormat="1" ht="24.75" customHeight="1" x14ac:dyDescent="0.5">
      <c r="A37" s="263"/>
      <c r="B37" s="264"/>
      <c r="C37" s="181"/>
      <c r="D37" s="181"/>
      <c r="E37" s="855"/>
      <c r="F37" s="856"/>
      <c r="G37" s="592"/>
      <c r="H37" s="875"/>
      <c r="I37" s="265"/>
      <c r="J37" s="264"/>
      <c r="K37" s="267"/>
      <c r="L37" s="254"/>
      <c r="M37" s="789"/>
      <c r="N37" s="876"/>
      <c r="O37" s="877"/>
      <c r="P37" s="878"/>
      <c r="Q37" s="479"/>
      <c r="R37" s="479"/>
      <c r="S37" s="479"/>
      <c r="T37" s="479"/>
      <c r="U37" s="479"/>
      <c r="V37" s="479"/>
      <c r="W37" s="479"/>
      <c r="X37" s="479"/>
      <c r="Y37" s="479"/>
      <c r="Z37" s="479"/>
      <c r="AA37" s="479"/>
      <c r="AB37" s="176"/>
      <c r="AC37" s="176"/>
      <c r="AD37" s="176"/>
      <c r="AE37" s="754"/>
      <c r="AF37" s="754"/>
      <c r="AG37" s="754"/>
      <c r="AH37" s="754"/>
      <c r="AI37" s="754"/>
      <c r="AJ37" s="754"/>
      <c r="AK37" s="754"/>
      <c r="AL37" s="754"/>
      <c r="AM37" s="176"/>
      <c r="AN37" s="176"/>
      <c r="AO37" s="176"/>
      <c r="AP37" s="176"/>
      <c r="AQ37" s="176"/>
      <c r="AR37" s="176"/>
      <c r="AS37" s="176"/>
      <c r="AT37" s="176"/>
      <c r="AU37" s="176"/>
      <c r="AV37" s="176"/>
      <c r="AW37" s="176"/>
      <c r="AX37" s="176"/>
      <c r="AY37" s="176"/>
      <c r="AZ37" s="176"/>
      <c r="BA37" s="176"/>
      <c r="BN37" s="179"/>
      <c r="BO37" s="179"/>
      <c r="BP37" s="179"/>
      <c r="BQ37" s="179"/>
      <c r="BR37" s="179"/>
      <c r="BS37" s="179"/>
      <c r="BT37" s="179"/>
      <c r="BU37" s="179"/>
      <c r="BV37" s="179"/>
      <c r="BW37" s="179"/>
      <c r="BX37" s="179"/>
      <c r="BY37" s="179"/>
      <c r="BZ37" s="179"/>
      <c r="CA37" s="179"/>
      <c r="CB37" s="179"/>
      <c r="CC37" s="179"/>
      <c r="CD37" s="179"/>
      <c r="CE37" s="179"/>
      <c r="CF37" s="179"/>
      <c r="CG37" s="179"/>
      <c r="CM37" s="179"/>
      <c r="CN37" s="179"/>
      <c r="CO37" s="179"/>
      <c r="CP37" s="179"/>
      <c r="CQ37" s="179"/>
      <c r="CR37" s="179"/>
      <c r="CS37" s="179"/>
      <c r="CT37" s="179"/>
      <c r="CU37" s="179"/>
      <c r="CV37" s="179"/>
      <c r="CW37" s="179"/>
      <c r="CX37" s="179"/>
      <c r="CY37" s="179"/>
      <c r="CZ37" s="179"/>
    </row>
    <row r="38" spans="1:104" s="178" customFormat="1" ht="23.25" customHeight="1" x14ac:dyDescent="0.35">
      <c r="A38" s="245" t="s">
        <v>105</v>
      </c>
      <c r="B38" s="268"/>
      <c r="C38" s="246"/>
      <c r="D38" s="246"/>
      <c r="E38" s="736" t="e">
        <f>-PMT(K32/12,E30*12,E28,0,0)</f>
        <v>#DIV/0!</v>
      </c>
      <c r="F38" s="269"/>
      <c r="G38" s="270" t="s">
        <v>104</v>
      </c>
      <c r="H38" s="269"/>
      <c r="I38" s="271"/>
      <c r="J38" s="269"/>
      <c r="K38" s="93" t="e">
        <f>-PMT((AE1+2%)/12,E30*12,E28,0,0)</f>
        <v>#DIV/0!</v>
      </c>
      <c r="L38" s="272"/>
      <c r="M38" s="463"/>
      <c r="N38" s="477" t="s">
        <v>239</v>
      </c>
      <c r="O38" s="478">
        <f>U38</f>
        <v>0</v>
      </c>
      <c r="P38" s="478" t="str">
        <f>IF(TRIM(C9)="","FALSE",IF(C9&gt;30,"FALSE",IF(C9&gt;12,350,IF(C9&gt;2,210,IF(C9=0,250,IF(C9&gt;0,250,"FALSE"))))))</f>
        <v>FALSE</v>
      </c>
      <c r="Q38" s="478" t="str">
        <f>IF(TRIM(E9)="","FALSE",IF(E9&gt;30,"FALSE",IF(E9&gt;12,350,IF(E9&gt;2,210,IF(E9=0,250,IF(E9&gt;0,250,"FALSE"))))))</f>
        <v>FALSE</v>
      </c>
      <c r="R38" s="478" t="str">
        <f>IF(TRIM(F9)="","FALSE",IF(F9&gt;30,"FALSE",IF(F9&gt;12,350,IF(F9&gt;2,210,IF(F9=0,250,IF(F9&gt;0,250,"FALSE"))))))</f>
        <v>FALSE</v>
      </c>
      <c r="S38" s="478" t="str">
        <f>IF(TRIM(G9)="","FALSE",IF(G9&gt;30,"FALSE",IF(G9&gt;12,350,IF(G9&gt;2,210,IF(G9=0,250,IF(G9&gt;0,250,"FALSE"))))))</f>
        <v>FALSE</v>
      </c>
      <c r="T38" s="478" t="str">
        <f>IF(TRIM(H9)="","FALSE",IF(H9&gt;30,"FALSE",IF(H9&gt;12,350,IF(H9&gt;2,210,IF(H9=0,250,IF(H9&gt;0,250,"FALSE"))))))</f>
        <v>FALSE</v>
      </c>
      <c r="U38" s="478">
        <f>SUM(P38:T38)</f>
        <v>0</v>
      </c>
      <c r="V38" s="479"/>
      <c r="W38" s="479"/>
      <c r="X38" s="479"/>
      <c r="Y38" s="479"/>
      <c r="Z38" s="479"/>
      <c r="AA38" s="479"/>
      <c r="AB38" s="176"/>
      <c r="AC38" s="176"/>
      <c r="AD38" s="176"/>
      <c r="AE38" s="754"/>
      <c r="AF38" s="754"/>
      <c r="AG38" s="754"/>
      <c r="AH38" s="754"/>
      <c r="AI38" s="754"/>
      <c r="AJ38" s="754"/>
      <c r="AK38" s="754"/>
      <c r="AL38" s="754"/>
      <c r="AM38" s="176"/>
      <c r="AN38" s="176"/>
      <c r="AO38" s="176"/>
      <c r="AP38" s="176"/>
      <c r="AQ38" s="176"/>
      <c r="AR38" s="176"/>
      <c r="AS38" s="176"/>
      <c r="AT38" s="176"/>
      <c r="AU38" s="176"/>
      <c r="AV38" s="176"/>
      <c r="AW38" s="176"/>
      <c r="AX38" s="176"/>
      <c r="AY38" s="176"/>
      <c r="AZ38" s="176"/>
      <c r="BA38" s="176"/>
      <c r="BN38" s="179"/>
      <c r="BO38" s="179"/>
      <c r="BP38" s="179"/>
      <c r="BQ38" s="179"/>
      <c r="BR38" s="179"/>
      <c r="BS38" s="179"/>
      <c r="BT38" s="179"/>
      <c r="BU38" s="179"/>
      <c r="BV38" s="179"/>
      <c r="BW38" s="179"/>
      <c r="BX38" s="179"/>
      <c r="BY38" s="179"/>
      <c r="BZ38" s="179"/>
      <c r="CA38" s="179"/>
      <c r="CB38" s="179"/>
      <c r="CC38" s="179"/>
      <c r="CD38" s="179"/>
      <c r="CE38" s="179"/>
      <c r="CF38" s="179"/>
      <c r="CG38" s="179"/>
      <c r="CM38" s="179"/>
      <c r="CN38" s="179"/>
      <c r="CO38" s="179"/>
      <c r="CP38" s="179"/>
      <c r="CQ38" s="179"/>
      <c r="CR38" s="179"/>
      <c r="CS38" s="179"/>
      <c r="CT38" s="179"/>
      <c r="CU38" s="179"/>
      <c r="CV38" s="179"/>
      <c r="CW38" s="179"/>
      <c r="CX38" s="179"/>
      <c r="CY38" s="179"/>
      <c r="CZ38" s="179"/>
    </row>
    <row r="39" spans="1:104" s="178" customFormat="1" ht="28.5" customHeight="1" thickBot="1" x14ac:dyDescent="0.4">
      <c r="A39" s="245"/>
      <c r="B39" s="268"/>
      <c r="C39" s="246"/>
      <c r="D39" s="246"/>
      <c r="E39" s="571" t="s">
        <v>28</v>
      </c>
      <c r="F39" s="570" t="s">
        <v>71</v>
      </c>
      <c r="G39" s="572" t="s">
        <v>107</v>
      </c>
      <c r="H39" s="570" t="s">
        <v>342</v>
      </c>
      <c r="I39" s="570" t="s">
        <v>343</v>
      </c>
      <c r="J39" s="566"/>
      <c r="K39" s="567"/>
      <c r="L39" s="272"/>
      <c r="M39" s="463"/>
      <c r="N39" s="481"/>
      <c r="O39" s="482"/>
      <c r="P39" s="478"/>
      <c r="Q39" s="478"/>
      <c r="R39" s="478"/>
      <c r="S39" s="478"/>
      <c r="T39" s="478"/>
      <c r="U39" s="478"/>
      <c r="V39" s="479"/>
      <c r="W39" s="479"/>
      <c r="X39" s="479"/>
      <c r="Y39" s="479"/>
      <c r="Z39" s="479"/>
      <c r="AA39" s="479"/>
      <c r="AB39" s="176"/>
      <c r="AC39" s="176"/>
      <c r="AD39" s="176"/>
      <c r="AE39" s="754"/>
      <c r="AF39" s="754"/>
      <c r="AG39" s="754"/>
      <c r="AH39" s="754"/>
      <c r="AI39" s="754"/>
      <c r="AJ39" s="754"/>
      <c r="AK39" s="754"/>
      <c r="AL39" s="754"/>
      <c r="AM39" s="176"/>
      <c r="AN39" s="176"/>
      <c r="AO39" s="176"/>
      <c r="AP39" s="176"/>
      <c r="AQ39" s="176"/>
      <c r="AR39" s="176"/>
      <c r="AS39" s="176"/>
      <c r="AT39" s="176"/>
      <c r="AU39" s="176"/>
      <c r="AV39" s="176"/>
      <c r="AW39" s="176"/>
      <c r="AX39" s="176"/>
      <c r="AY39" s="176"/>
      <c r="AZ39" s="176"/>
      <c r="BA39" s="176"/>
      <c r="BN39" s="179"/>
      <c r="BO39" s="179"/>
      <c r="BP39" s="179"/>
      <c r="BQ39" s="179"/>
      <c r="BR39" s="179"/>
      <c r="BS39" s="179"/>
      <c r="BT39" s="179"/>
      <c r="BU39" s="179"/>
      <c r="BV39" s="179"/>
      <c r="BW39" s="179"/>
      <c r="BX39" s="179"/>
      <c r="BY39" s="179"/>
      <c r="BZ39" s="179"/>
      <c r="CA39" s="179"/>
      <c r="CB39" s="179"/>
      <c r="CC39" s="179"/>
      <c r="CD39" s="179"/>
      <c r="CE39" s="179"/>
      <c r="CF39" s="179"/>
      <c r="CG39" s="179"/>
      <c r="CM39" s="179"/>
      <c r="CN39" s="179"/>
      <c r="CO39" s="179"/>
      <c r="CP39" s="179"/>
      <c r="CQ39" s="179"/>
      <c r="CR39" s="179"/>
      <c r="CS39" s="179"/>
      <c r="CT39" s="179"/>
      <c r="CU39" s="179"/>
      <c r="CV39" s="179"/>
      <c r="CW39" s="179"/>
      <c r="CX39" s="179"/>
      <c r="CY39" s="179"/>
      <c r="CZ39" s="179"/>
    </row>
    <row r="40" spans="1:104" s="178" customFormat="1" ht="22.5" customHeight="1" thickBot="1" x14ac:dyDescent="0.5">
      <c r="A40" s="1068" t="s">
        <v>347</v>
      </c>
      <c r="B40" s="1069"/>
      <c r="C40" s="573" t="e">
        <f>SUM(E40:I40)/E38</f>
        <v>#DIV/0!</v>
      </c>
      <c r="D40" s="270"/>
      <c r="E40" s="575"/>
      <c r="F40" s="576"/>
      <c r="G40" s="577"/>
      <c r="H40" s="576"/>
      <c r="I40" s="576"/>
      <c r="J40" s="566"/>
      <c r="K40" s="574">
        <f>SUM(E40:I40)</f>
        <v>0</v>
      </c>
      <c r="L40" s="272"/>
      <c r="M40" s="463"/>
      <c r="N40" s="481"/>
      <c r="O40" s="482"/>
      <c r="P40" s="478"/>
      <c r="Q40" s="478"/>
      <c r="R40" s="478"/>
      <c r="S40" s="478"/>
      <c r="T40" s="478"/>
      <c r="U40" s="478"/>
      <c r="V40" s="479"/>
      <c r="W40" s="479"/>
      <c r="X40" s="479"/>
      <c r="Y40" s="479"/>
      <c r="Z40" s="479"/>
      <c r="AA40" s="479"/>
      <c r="AB40" s="176"/>
      <c r="AC40" s="176"/>
      <c r="AD40" s="176"/>
      <c r="AE40" s="754"/>
      <c r="AF40" s="754"/>
      <c r="AG40" s="754"/>
      <c r="AH40" s="754"/>
      <c r="AI40" s="754"/>
      <c r="AJ40" s="754"/>
      <c r="AK40" s="754"/>
      <c r="AL40" s="754"/>
      <c r="AM40" s="176"/>
      <c r="AN40" s="176"/>
      <c r="AO40" s="176"/>
      <c r="AP40" s="176"/>
      <c r="AQ40" s="176"/>
      <c r="AR40" s="176"/>
      <c r="AS40" s="176"/>
      <c r="AT40" s="176"/>
      <c r="AU40" s="176"/>
      <c r="AV40" s="176"/>
      <c r="AW40" s="176"/>
      <c r="AX40" s="176"/>
      <c r="AY40" s="176"/>
      <c r="AZ40" s="176"/>
      <c r="BA40" s="176"/>
      <c r="BN40" s="179"/>
      <c r="BO40" s="179"/>
      <c r="BP40" s="179"/>
      <c r="BQ40" s="179"/>
      <c r="BR40" s="179"/>
      <c r="BS40" s="179"/>
      <c r="BT40" s="179"/>
      <c r="BU40" s="179"/>
      <c r="BV40" s="179"/>
      <c r="BW40" s="179"/>
      <c r="BX40" s="179"/>
      <c r="BY40" s="179"/>
      <c r="BZ40" s="179"/>
      <c r="CA40" s="179"/>
      <c r="CB40" s="179"/>
      <c r="CC40" s="179"/>
      <c r="CD40" s="179"/>
      <c r="CE40" s="179"/>
      <c r="CF40" s="179"/>
      <c r="CG40" s="179"/>
      <c r="CM40" s="179"/>
      <c r="CN40" s="179"/>
      <c r="CO40" s="179"/>
      <c r="CP40" s="179"/>
      <c r="CQ40" s="179"/>
      <c r="CR40" s="179"/>
      <c r="CS40" s="179"/>
      <c r="CT40" s="179"/>
      <c r="CU40" s="179"/>
      <c r="CV40" s="179"/>
      <c r="CW40" s="179"/>
      <c r="CX40" s="179"/>
      <c r="CY40" s="179"/>
      <c r="CZ40" s="179"/>
    </row>
    <row r="41" spans="1:104" s="178" customFormat="1" ht="22.5" customHeight="1" thickBot="1" x14ac:dyDescent="0.4">
      <c r="A41" s="273"/>
      <c r="B41" s="274"/>
      <c r="C41" s="274"/>
      <c r="D41" s="274"/>
      <c r="E41" s="274"/>
      <c r="F41" s="274"/>
      <c r="G41" s="274"/>
      <c r="H41" s="274"/>
      <c r="I41" s="274"/>
      <c r="J41" s="274"/>
      <c r="K41" s="274"/>
      <c r="L41" s="275"/>
      <c r="M41" s="463"/>
      <c r="N41" s="481" t="s">
        <v>240</v>
      </c>
      <c r="O41" s="482"/>
      <c r="P41" s="483">
        <f>IF(C9="",0,IF(AND(C9&gt;=0,C9&lt;15),1,0))</f>
        <v>0</v>
      </c>
      <c r="Q41" s="483">
        <f>IF(E9="",0,IF(AND(E9&gt;=0,E9&lt;15),1,0))</f>
        <v>0</v>
      </c>
      <c r="R41" s="483">
        <f>IF(F9="",0,IF(AND(F9&gt;=0,F9&lt;15),1,0))</f>
        <v>0</v>
      </c>
      <c r="S41" s="483">
        <f>IF(G9="",0,IF(AND(G9&gt;=0,G9&lt;15),1,0))</f>
        <v>0</v>
      </c>
      <c r="T41" s="483">
        <f>IF(H9="",0,IF(AND(H9&gt;=0,H9&lt;15),1,0))</f>
        <v>0</v>
      </c>
      <c r="U41" s="483">
        <f>SUM(P41:T41)</f>
        <v>0</v>
      </c>
      <c r="V41" s="483">
        <f>IF(U41=1,100,IF(U41=2,200,IF(U41=3,250,IF(U41=4,300,IF(U41=5,325,0)))))</f>
        <v>0</v>
      </c>
      <c r="W41" s="483"/>
      <c r="X41" s="483"/>
      <c r="Y41" s="483"/>
      <c r="Z41" s="483"/>
      <c r="AA41" s="483"/>
      <c r="AB41" s="177"/>
      <c r="AC41" s="177"/>
      <c r="AD41" s="177"/>
      <c r="AE41" s="754"/>
      <c r="AF41" s="754"/>
      <c r="AG41" s="754"/>
      <c r="AH41" s="754"/>
      <c r="AI41" s="754"/>
      <c r="AJ41" s="754"/>
      <c r="AK41" s="754"/>
      <c r="AL41" s="754"/>
      <c r="AM41" s="176"/>
      <c r="AN41" s="176"/>
      <c r="AO41" s="176"/>
      <c r="AP41" s="176"/>
      <c r="AQ41" s="176"/>
      <c r="AR41" s="176"/>
      <c r="AS41" s="176"/>
      <c r="AT41" s="176"/>
      <c r="AU41" s="176"/>
      <c r="AV41" s="176"/>
      <c r="AW41" s="176"/>
      <c r="AX41" s="176"/>
      <c r="AY41" s="176"/>
      <c r="AZ41" s="176"/>
      <c r="BA41" s="176"/>
      <c r="BN41" s="179"/>
      <c r="BO41" s="179"/>
      <c r="BP41" s="179"/>
      <c r="BQ41" s="179"/>
      <c r="BR41" s="179"/>
      <c r="BS41" s="179"/>
      <c r="BT41" s="179"/>
      <c r="BU41" s="179"/>
      <c r="BV41" s="179"/>
      <c r="BW41" s="179"/>
      <c r="BX41" s="179"/>
      <c r="BY41" s="179"/>
      <c r="BZ41" s="179"/>
      <c r="CA41" s="179"/>
      <c r="CB41" s="179"/>
      <c r="CC41" s="179"/>
      <c r="CD41" s="179"/>
      <c r="CE41" s="179"/>
      <c r="CF41" s="179"/>
      <c r="CG41" s="179"/>
      <c r="CM41" s="179"/>
      <c r="CN41" s="179"/>
      <c r="CO41" s="179"/>
      <c r="CP41" s="179"/>
      <c r="CQ41" s="179"/>
      <c r="CR41" s="179"/>
      <c r="CS41" s="179"/>
      <c r="CT41" s="179"/>
      <c r="CU41" s="179"/>
      <c r="CV41" s="179"/>
      <c r="CW41" s="179"/>
      <c r="CX41" s="179"/>
      <c r="CY41" s="179"/>
      <c r="CZ41" s="179"/>
    </row>
    <row r="42" spans="1:104" s="250" customFormat="1" ht="28.5" customHeight="1" thickBot="1" x14ac:dyDescent="0.4">
      <c r="A42" s="249"/>
      <c r="L42" s="251"/>
      <c r="M42" s="464"/>
      <c r="N42" s="484" t="s">
        <v>44</v>
      </c>
      <c r="O42" s="485">
        <f>IF(OR(K9&gt;0,I87&gt;0),0,IF(X1="Married X One Income",0,V41))</f>
        <v>0</v>
      </c>
      <c r="P42" s="478"/>
      <c r="Q42" s="486"/>
      <c r="R42" s="486"/>
      <c r="S42" s="486"/>
      <c r="T42" s="486"/>
      <c r="U42" s="486"/>
      <c r="V42" s="486"/>
      <c r="W42" s="486"/>
      <c r="X42" s="486"/>
      <c r="Y42" s="486"/>
      <c r="Z42" s="486"/>
      <c r="AA42" s="486"/>
      <c r="AB42" s="177"/>
      <c r="AC42" s="177"/>
      <c r="AD42" s="177"/>
      <c r="AE42" s="759"/>
      <c r="AF42" s="759"/>
      <c r="AG42" s="759"/>
      <c r="AH42" s="759"/>
      <c r="AI42" s="759"/>
      <c r="AJ42" s="759"/>
      <c r="AK42" s="759"/>
      <c r="AL42" s="759"/>
      <c r="AM42" s="258"/>
      <c r="AN42" s="258"/>
      <c r="AO42" s="258"/>
      <c r="AP42" s="258"/>
      <c r="AQ42" s="258"/>
      <c r="AR42" s="258"/>
      <c r="AS42" s="258"/>
      <c r="AT42" s="258"/>
      <c r="AU42" s="258"/>
      <c r="AV42" s="258"/>
      <c r="AW42" s="176"/>
      <c r="AX42" s="258"/>
      <c r="AY42" s="258"/>
      <c r="AZ42" s="258"/>
      <c r="BA42" s="258"/>
    </row>
    <row r="43" spans="1:104" s="178" customFormat="1" ht="21.5" thickBot="1" x14ac:dyDescent="0.55000000000000004">
      <c r="A43" s="1054" t="s">
        <v>492</v>
      </c>
      <c r="B43" s="1055"/>
      <c r="C43" s="1055"/>
      <c r="D43" s="1055"/>
      <c r="E43" s="1055"/>
      <c r="F43" s="1055"/>
      <c r="G43" s="1055"/>
      <c r="H43" s="1055"/>
      <c r="I43" s="1055"/>
      <c r="J43" s="1055"/>
      <c r="K43" s="1055"/>
      <c r="L43" s="1056"/>
      <c r="M43" s="463"/>
      <c r="N43" s="483" t="s">
        <v>241</v>
      </c>
      <c r="O43" s="478">
        <f>P43</f>
        <v>0</v>
      </c>
      <c r="P43" s="480">
        <f>IF(S1="Joint",400,IF(S1="Single",200,0))</f>
        <v>0</v>
      </c>
      <c r="Q43" s="479"/>
      <c r="R43" s="479"/>
      <c r="S43" s="479"/>
      <c r="T43" s="479"/>
      <c r="U43" s="479"/>
      <c r="V43" s="479"/>
      <c r="W43" s="479"/>
      <c r="X43" s="479"/>
      <c r="Y43" s="479"/>
      <c r="Z43" s="479"/>
      <c r="AA43" s="479"/>
      <c r="AB43" s="177"/>
      <c r="AC43" s="177"/>
      <c r="AD43" s="177"/>
      <c r="AE43" s="754"/>
      <c r="AF43" s="754"/>
      <c r="AG43" s="754"/>
      <c r="AH43" s="754"/>
      <c r="AI43" s="754"/>
      <c r="AJ43" s="754"/>
      <c r="AK43" s="754"/>
      <c r="AL43" s="754"/>
      <c r="AM43" s="176"/>
      <c r="AN43" s="176"/>
      <c r="AO43" s="176"/>
      <c r="AP43" s="176"/>
      <c r="AQ43" s="176"/>
      <c r="AR43" s="176"/>
      <c r="AS43" s="176"/>
      <c r="AT43" s="176"/>
      <c r="AU43" s="176"/>
      <c r="AV43" s="176"/>
      <c r="AW43" s="176">
        <f>AW12+1</f>
        <v>10</v>
      </c>
      <c r="AX43" s="176"/>
      <c r="AY43" s="176"/>
      <c r="AZ43" s="176"/>
      <c r="BA43" s="176"/>
      <c r="BN43" s="179"/>
      <c r="BO43" s="179"/>
      <c r="BP43" s="179"/>
      <c r="BQ43" s="179"/>
      <c r="BR43" s="179"/>
      <c r="BS43" s="179"/>
      <c r="BT43" s="179"/>
      <c r="BU43" s="179"/>
      <c r="BV43" s="179"/>
      <c r="BW43" s="179"/>
      <c r="BX43" s="179"/>
      <c r="BY43" s="179"/>
      <c r="BZ43" s="179"/>
      <c r="CA43" s="179"/>
      <c r="CB43" s="179"/>
      <c r="CC43" s="179"/>
      <c r="CD43" s="179"/>
      <c r="CE43" s="179"/>
      <c r="CF43" s="179"/>
      <c r="CG43" s="179"/>
      <c r="CM43" s="179"/>
      <c r="CN43" s="179"/>
      <c r="CO43" s="179"/>
      <c r="CP43" s="179"/>
      <c r="CQ43" s="179"/>
      <c r="CR43" s="179"/>
      <c r="CS43" s="179"/>
      <c r="CT43" s="179"/>
      <c r="CU43" s="179"/>
      <c r="CV43" s="179"/>
      <c r="CW43" s="179"/>
      <c r="CX43" s="179"/>
      <c r="CY43" s="179"/>
      <c r="CZ43" s="179"/>
    </row>
    <row r="44" spans="1:104" s="178" customFormat="1" ht="18.5" x14ac:dyDescent="0.45">
      <c r="A44" s="1057" t="s">
        <v>84</v>
      </c>
      <c r="B44" s="277"/>
      <c r="C44" s="277"/>
      <c r="D44" s="277"/>
      <c r="E44" s="1064" t="str">
        <f>IF(O91&lt;&gt;K7,P89,"")</f>
        <v/>
      </c>
      <c r="F44" s="1065"/>
      <c r="G44" s="1065"/>
      <c r="H44" s="1065"/>
      <c r="I44" s="277"/>
      <c r="J44" s="277"/>
      <c r="K44" s="277"/>
      <c r="L44" s="278"/>
      <c r="M44" s="463"/>
      <c r="N44" s="483" t="s">
        <v>26</v>
      </c>
      <c r="O44" s="478">
        <f>SUM(O35:O43)</f>
        <v>0</v>
      </c>
      <c r="P44" s="483" t="s">
        <v>242</v>
      </c>
      <c r="Q44" s="483"/>
      <c r="R44" s="483"/>
      <c r="S44" s="487" t="e">
        <f>I146-E148</f>
        <v>#DIV/0!</v>
      </c>
      <c r="T44" s="483"/>
      <c r="U44" s="483">
        <f>O43*-1</f>
        <v>0</v>
      </c>
      <c r="V44" s="479"/>
      <c r="W44" s="479"/>
      <c r="X44" s="479"/>
      <c r="Y44" s="479"/>
      <c r="Z44" s="479"/>
      <c r="AA44" s="479"/>
      <c r="AB44" s="256"/>
      <c r="AC44" s="256"/>
      <c r="AD44" s="256"/>
      <c r="AE44" s="754"/>
      <c r="AF44" s="754"/>
      <c r="AG44" s="754"/>
      <c r="AH44" s="754"/>
      <c r="AI44" s="754"/>
      <c r="AJ44" s="754"/>
      <c r="AK44" s="754"/>
      <c r="AL44" s="754"/>
      <c r="AM44" s="176"/>
      <c r="AN44" s="176"/>
      <c r="AO44" s="176"/>
      <c r="AP44" s="176"/>
      <c r="AQ44" s="176"/>
      <c r="AR44" s="176"/>
      <c r="AS44" s="176"/>
      <c r="AT44" s="176"/>
      <c r="AU44" s="176"/>
      <c r="AV44" s="176"/>
      <c r="AW44" s="176">
        <f>AW43+1</f>
        <v>11</v>
      </c>
      <c r="AX44" s="176"/>
      <c r="AY44" s="176"/>
      <c r="AZ44" s="176"/>
      <c r="BA44" s="176"/>
      <c r="BN44" s="179"/>
      <c r="BO44" s="179"/>
      <c r="BP44" s="179"/>
      <c r="BQ44" s="179"/>
      <c r="BR44" s="179"/>
      <c r="BS44" s="179"/>
      <c r="BT44" s="179"/>
      <c r="BU44" s="179"/>
      <c r="BV44" s="179"/>
      <c r="BW44" s="179"/>
      <c r="BX44" s="179"/>
      <c r="BY44" s="179"/>
      <c r="BZ44" s="179"/>
      <c r="CA44" s="179"/>
      <c r="CB44" s="179"/>
      <c r="CC44" s="179"/>
      <c r="CD44" s="179"/>
      <c r="CE44" s="179"/>
      <c r="CF44" s="179"/>
      <c r="CG44" s="179"/>
      <c r="CM44" s="179"/>
      <c r="CN44" s="179"/>
      <c r="CO44" s="179"/>
      <c r="CP44" s="179"/>
      <c r="CQ44" s="179"/>
      <c r="CR44" s="179"/>
      <c r="CS44" s="179"/>
      <c r="CT44" s="179"/>
      <c r="CU44" s="179"/>
      <c r="CV44" s="179"/>
      <c r="CW44" s="179"/>
      <c r="CX44" s="179"/>
      <c r="CY44" s="179"/>
      <c r="CZ44" s="179"/>
    </row>
    <row r="45" spans="1:104" s="178" customFormat="1" ht="25.5" customHeight="1" x14ac:dyDescent="0.45">
      <c r="A45" s="1058"/>
      <c r="B45" s="960"/>
      <c r="C45" s="961"/>
      <c r="D45" s="279"/>
      <c r="E45" s="1066"/>
      <c r="F45" s="1067"/>
      <c r="G45" s="1067"/>
      <c r="H45" s="1067"/>
      <c r="I45" s="279"/>
      <c r="J45" s="279"/>
      <c r="K45" s="279"/>
      <c r="L45" s="280"/>
      <c r="M45" s="789"/>
      <c r="N45" s="486"/>
      <c r="O45" s="499"/>
      <c r="P45" s="483"/>
      <c r="Q45" s="483"/>
      <c r="R45" s="483"/>
      <c r="S45" s="487"/>
      <c r="T45" s="483"/>
      <c r="U45" s="483"/>
      <c r="V45" s="479"/>
      <c r="W45" s="479"/>
      <c r="X45" s="479"/>
      <c r="Y45" s="479"/>
      <c r="Z45" s="479"/>
      <c r="AA45" s="479"/>
      <c r="AB45" s="256"/>
      <c r="AC45" s="256"/>
      <c r="AD45" s="256"/>
      <c r="AE45" s="754"/>
      <c r="AF45" s="754"/>
      <c r="AG45" s="754"/>
      <c r="AH45" s="754"/>
      <c r="AI45" s="754"/>
      <c r="AJ45" s="754"/>
      <c r="AK45" s="754"/>
      <c r="AL45" s="754"/>
      <c r="AM45" s="176"/>
      <c r="AN45" s="176"/>
      <c r="AO45" s="176"/>
      <c r="AP45" s="176"/>
      <c r="AQ45" s="176"/>
      <c r="AR45" s="176"/>
      <c r="AS45" s="176"/>
      <c r="AT45" s="176"/>
      <c r="AU45" s="176"/>
      <c r="AV45" s="176"/>
      <c r="AW45" s="176"/>
      <c r="AX45" s="176"/>
      <c r="AY45" s="176"/>
      <c r="AZ45" s="176"/>
      <c r="BA45" s="176"/>
      <c r="BN45" s="179"/>
      <c r="BO45" s="179"/>
      <c r="BP45" s="179"/>
      <c r="BQ45" s="179"/>
      <c r="BR45" s="179"/>
      <c r="BS45" s="179"/>
      <c r="BT45" s="179"/>
      <c r="BU45" s="179"/>
      <c r="BV45" s="179"/>
      <c r="BW45" s="179"/>
      <c r="BX45" s="179"/>
      <c r="BY45" s="179"/>
      <c r="BZ45" s="179"/>
      <c r="CA45" s="179"/>
      <c r="CB45" s="179"/>
      <c r="CC45" s="179"/>
      <c r="CD45" s="179"/>
      <c r="CE45" s="179"/>
      <c r="CF45" s="179"/>
      <c r="CG45" s="179"/>
      <c r="CM45" s="179"/>
      <c r="CN45" s="179"/>
      <c r="CO45" s="179"/>
      <c r="CP45" s="179"/>
      <c r="CQ45" s="179"/>
      <c r="CR45" s="179"/>
      <c r="CS45" s="179"/>
      <c r="CT45" s="179"/>
      <c r="CU45" s="179"/>
      <c r="CV45" s="179"/>
      <c r="CW45" s="179"/>
      <c r="CX45" s="179"/>
      <c r="CY45" s="179"/>
      <c r="CZ45" s="179"/>
    </row>
    <row r="46" spans="1:104" ht="12" customHeight="1" thickBot="1" x14ac:dyDescent="0.5">
      <c r="A46" s="1058"/>
      <c r="B46" s="279"/>
      <c r="C46" s="279"/>
      <c r="D46" s="279"/>
      <c r="E46" s="1067"/>
      <c r="F46" s="1067"/>
      <c r="G46" s="1067"/>
      <c r="H46" s="1067"/>
      <c r="I46" s="279"/>
      <c r="J46" s="279"/>
      <c r="K46" s="279"/>
      <c r="L46" s="280"/>
      <c r="N46" s="486"/>
      <c r="O46" s="488"/>
      <c r="P46" s="483" t="s">
        <v>243</v>
      </c>
      <c r="Q46" s="483"/>
      <c r="R46" s="483"/>
      <c r="S46" s="483" t="e">
        <f>IF(S44&lt;U44,"Failed MDIR Criteria",IF(G148&gt;=100%, "Passed MDIR Criteria",IF(G148&gt;90%,"Fail -  Requires Comment", IF(G148&gt;80%,"Fail -  Requires Justification",IF(G145&lt;80%,"Failed MDIR Criteria",)))))</f>
        <v>#DIV/0!</v>
      </c>
      <c r="T46" s="483"/>
      <c r="U46" s="483"/>
      <c r="V46" s="479"/>
      <c r="W46" s="479"/>
      <c r="X46" s="479"/>
      <c r="Y46" s="479"/>
      <c r="Z46" s="479"/>
      <c r="AA46" s="479"/>
      <c r="AB46" s="258"/>
      <c r="AC46" s="258"/>
      <c r="AD46" s="258"/>
      <c r="AW46" s="258"/>
    </row>
    <row r="47" spans="1:104" ht="8.25" hidden="1" customHeight="1" thickBot="1" x14ac:dyDescent="0.4">
      <c r="A47" s="282"/>
      <c r="B47" s="269"/>
      <c r="C47" s="269"/>
      <c r="D47" s="269"/>
      <c r="E47" s="269"/>
      <c r="F47" s="269"/>
      <c r="G47" s="269"/>
      <c r="H47" s="269"/>
      <c r="I47" s="269"/>
      <c r="J47" s="269"/>
      <c r="K47" s="269"/>
      <c r="L47" s="272"/>
      <c r="N47" s="479"/>
      <c r="O47" s="479"/>
      <c r="P47" s="479"/>
      <c r="Q47" s="479"/>
      <c r="R47" s="479"/>
      <c r="S47" s="479"/>
      <c r="T47" s="479"/>
      <c r="U47" s="479"/>
      <c r="V47" s="479"/>
      <c r="W47" s="479"/>
      <c r="X47" s="479"/>
      <c r="Y47" s="479"/>
      <c r="Z47" s="479"/>
      <c r="AA47" s="479"/>
    </row>
    <row r="48" spans="1:104" ht="20.25" customHeight="1" thickBot="1" x14ac:dyDescent="0.4">
      <c r="A48" s="283"/>
      <c r="B48" s="1059" t="s">
        <v>20</v>
      </c>
      <c r="C48" s="1060"/>
      <c r="D48" s="1060"/>
      <c r="E48" s="1061"/>
      <c r="F48" s="179"/>
      <c r="G48" s="179"/>
      <c r="H48" s="284"/>
      <c r="I48" s="1059" t="s">
        <v>145</v>
      </c>
      <c r="J48" s="1062"/>
      <c r="K48" s="1063"/>
      <c r="L48" s="251"/>
      <c r="M48" s="464"/>
      <c r="N48" s="483" t="s">
        <v>245</v>
      </c>
      <c r="O48" s="489" t="e">
        <f>SUM(K38/E28)*1000</f>
        <v>#DIV/0!</v>
      </c>
      <c r="P48" s="479"/>
      <c r="Q48" s="479"/>
      <c r="R48" s="479"/>
      <c r="S48" s="479"/>
      <c r="T48" s="479"/>
      <c r="U48" s="479"/>
      <c r="V48" s="479"/>
      <c r="W48" s="479"/>
      <c r="X48" s="479"/>
      <c r="Y48" s="479"/>
      <c r="Z48" s="479"/>
      <c r="AA48" s="479"/>
    </row>
    <row r="49" spans="1:106" s="246" customFormat="1" ht="12" customHeight="1" x14ac:dyDescent="0.35">
      <c r="A49" s="971" t="s">
        <v>147</v>
      </c>
      <c r="B49" s="179"/>
      <c r="C49" s="285"/>
      <c r="D49" s="285"/>
      <c r="E49" s="179"/>
      <c r="F49" s="179"/>
      <c r="G49" s="179"/>
      <c r="H49" s="949" t="s">
        <v>147</v>
      </c>
      <c r="I49" s="286"/>
      <c r="J49" s="179"/>
      <c r="K49" s="179"/>
      <c r="L49" s="183"/>
      <c r="M49" s="465"/>
      <c r="N49" s="483" t="s">
        <v>247</v>
      </c>
      <c r="O49" s="490" t="e">
        <f>E148-I146</f>
        <v>#DIV/0!</v>
      </c>
      <c r="P49" s="491"/>
      <c r="Q49" s="491"/>
      <c r="R49" s="491"/>
      <c r="S49" s="491"/>
      <c r="T49" s="491"/>
      <c r="U49" s="491"/>
      <c r="V49" s="491"/>
      <c r="W49" s="491"/>
      <c r="X49" s="491"/>
      <c r="Y49" s="491"/>
      <c r="Z49" s="491"/>
      <c r="AA49" s="491"/>
      <c r="AB49" s="177"/>
      <c r="AC49" s="177"/>
      <c r="AD49" s="177"/>
      <c r="AE49" s="759"/>
      <c r="AF49" s="759"/>
      <c r="AG49" s="759"/>
      <c r="AH49" s="759"/>
      <c r="AI49" s="759"/>
      <c r="AJ49" s="759"/>
      <c r="AK49" s="759"/>
      <c r="AL49" s="759"/>
      <c r="AM49" s="256"/>
      <c r="AN49" s="256"/>
      <c r="AO49" s="256"/>
      <c r="AP49" s="256"/>
      <c r="AQ49" s="256"/>
      <c r="AR49" s="256"/>
      <c r="AS49" s="256"/>
      <c r="AT49" s="256"/>
      <c r="AU49" s="256"/>
      <c r="AV49" s="256"/>
      <c r="AW49" s="177"/>
      <c r="AX49" s="256"/>
      <c r="AY49" s="256"/>
      <c r="AZ49" s="256"/>
      <c r="BA49" s="256"/>
    </row>
    <row r="50" spans="1:106" s="246" customFormat="1" ht="24.75" customHeight="1" x14ac:dyDescent="0.35">
      <c r="A50" s="971"/>
      <c r="B50" s="960"/>
      <c r="C50" s="961"/>
      <c r="D50" s="285"/>
      <c r="E50" s="179"/>
      <c r="F50" s="179"/>
      <c r="G50" s="179"/>
      <c r="H50" s="949"/>
      <c r="I50" s="962"/>
      <c r="J50" s="963"/>
      <c r="K50" s="179"/>
      <c r="L50" s="183"/>
      <c r="M50" s="790"/>
      <c r="N50" s="483"/>
      <c r="O50" s="490"/>
      <c r="P50" s="491"/>
      <c r="Q50" s="491"/>
      <c r="R50" s="491"/>
      <c r="S50" s="491"/>
      <c r="T50" s="491"/>
      <c r="U50" s="491"/>
      <c r="V50" s="491"/>
      <c r="W50" s="491"/>
      <c r="X50" s="491"/>
      <c r="Y50" s="491"/>
      <c r="Z50" s="491"/>
      <c r="AA50" s="491"/>
      <c r="AB50" s="177"/>
      <c r="AC50" s="177"/>
      <c r="AD50" s="177"/>
      <c r="AE50" s="759"/>
      <c r="AF50" s="759"/>
      <c r="AG50" s="759"/>
      <c r="AH50" s="759"/>
      <c r="AI50" s="759"/>
      <c r="AJ50" s="759"/>
      <c r="AK50" s="759"/>
      <c r="AL50" s="759"/>
      <c r="AM50" s="256"/>
      <c r="AN50" s="256"/>
      <c r="AO50" s="256"/>
      <c r="AP50" s="256"/>
      <c r="AQ50" s="256"/>
      <c r="AR50" s="256"/>
      <c r="AS50" s="256"/>
      <c r="AT50" s="256"/>
      <c r="AU50" s="256"/>
      <c r="AV50" s="256"/>
      <c r="AW50" s="177"/>
      <c r="AX50" s="256"/>
      <c r="AY50" s="256"/>
      <c r="AZ50" s="256"/>
      <c r="BA50" s="256"/>
    </row>
    <row r="51" spans="1:106" s="250" customFormat="1" ht="12" customHeight="1" x14ac:dyDescent="0.35">
      <c r="A51" s="971"/>
      <c r="B51" s="179"/>
      <c r="C51" s="179"/>
      <c r="D51" s="179"/>
      <c r="E51" s="179"/>
      <c r="F51" s="179"/>
      <c r="G51" s="288"/>
      <c r="H51" s="949"/>
      <c r="I51" s="289"/>
      <c r="J51" s="179"/>
      <c r="K51" s="179"/>
      <c r="L51" s="183"/>
      <c r="M51" s="464"/>
      <c r="N51" s="483" t="s">
        <v>248</v>
      </c>
      <c r="O51" s="492" t="e">
        <f>SUM(O49/O48)*1000</f>
        <v>#DIV/0!</v>
      </c>
      <c r="P51" s="486"/>
      <c r="Q51" s="486"/>
      <c r="R51" s="486"/>
      <c r="S51" s="486"/>
      <c r="T51" s="486"/>
      <c r="U51" s="486"/>
      <c r="V51" s="486"/>
      <c r="W51" s="486"/>
      <c r="X51" s="486"/>
      <c r="Y51" s="486"/>
      <c r="Z51" s="486"/>
      <c r="AA51" s="486"/>
      <c r="AB51" s="177"/>
      <c r="AC51" s="177"/>
      <c r="AD51" s="177"/>
      <c r="AE51" s="759"/>
      <c r="AF51" s="759"/>
      <c r="AG51" s="759"/>
      <c r="AH51" s="759"/>
      <c r="AI51" s="759"/>
      <c r="AJ51" s="759"/>
      <c r="AK51" s="759"/>
      <c r="AL51" s="759"/>
      <c r="AM51" s="258"/>
      <c r="AN51" s="258"/>
      <c r="AO51" s="258"/>
      <c r="AP51" s="258"/>
      <c r="AQ51" s="258"/>
      <c r="AR51" s="258"/>
      <c r="AS51" s="258"/>
      <c r="AT51" s="258"/>
      <c r="AU51" s="258"/>
      <c r="AV51" s="258"/>
      <c r="AW51" s="256"/>
      <c r="AX51" s="258"/>
      <c r="AY51" s="258"/>
      <c r="AZ51" s="258"/>
      <c r="BA51" s="258"/>
    </row>
    <row r="52" spans="1:106" ht="16" thickBot="1" x14ac:dyDescent="0.4">
      <c r="A52" s="260"/>
      <c r="B52" s="271"/>
      <c r="C52" s="179"/>
      <c r="D52" s="179"/>
      <c r="E52" s="290" t="s">
        <v>130</v>
      </c>
      <c r="F52" s="179"/>
      <c r="G52" s="179"/>
      <c r="H52" s="182"/>
      <c r="I52" s="271" t="s">
        <v>0</v>
      </c>
      <c r="J52" s="182"/>
      <c r="K52" s="290" t="s">
        <v>130</v>
      </c>
      <c r="L52" s="251"/>
      <c r="M52" s="464"/>
      <c r="N52" s="483" t="s">
        <v>250</v>
      </c>
      <c r="O52" s="492" t="e">
        <f>E148-I146</f>
        <v>#DIV/0!</v>
      </c>
      <c r="P52" s="479"/>
      <c r="Q52" s="479"/>
      <c r="R52" s="479"/>
      <c r="S52" s="479"/>
      <c r="T52" s="479"/>
      <c r="U52" s="479"/>
      <c r="V52" s="479"/>
      <c r="W52" s="479"/>
      <c r="X52" s="479"/>
      <c r="Y52" s="479"/>
      <c r="Z52" s="479"/>
      <c r="AA52" s="479"/>
      <c r="AW52" s="258"/>
    </row>
    <row r="53" spans="1:106" ht="21.5" thickBot="1" x14ac:dyDescent="0.5">
      <c r="A53" s="291" t="s">
        <v>1</v>
      </c>
      <c r="B53" s="292"/>
      <c r="C53" s="94"/>
      <c r="D53" s="94"/>
      <c r="E53" s="95">
        <f>IF(M1="single",0,B53)</f>
        <v>0</v>
      </c>
      <c r="F53" s="179"/>
      <c r="G53" s="182"/>
      <c r="H53" s="586" t="s">
        <v>2</v>
      </c>
      <c r="I53" s="292"/>
      <c r="J53" s="96"/>
      <c r="K53" s="95">
        <f>IF(S1="single",0,I53)</f>
        <v>0</v>
      </c>
      <c r="L53" s="251"/>
      <c r="M53" s="464"/>
      <c r="N53" s="493" t="s">
        <v>249</v>
      </c>
      <c r="O53" s="494"/>
      <c r="P53" s="479"/>
      <c r="Q53" s="479"/>
      <c r="R53" s="479"/>
      <c r="S53" s="479"/>
      <c r="T53" s="479"/>
      <c r="U53" s="479"/>
      <c r="V53" s="479"/>
      <c r="W53" s="479"/>
      <c r="X53" s="479"/>
      <c r="Y53" s="479"/>
      <c r="Z53" s="479"/>
      <c r="AA53" s="479"/>
    </row>
    <row r="54" spans="1:106" ht="19" thickBot="1" x14ac:dyDescent="0.5">
      <c r="A54" s="291"/>
      <c r="B54" s="97"/>
      <c r="C54" s="94"/>
      <c r="D54" s="94"/>
      <c r="E54" s="98"/>
      <c r="F54" s="179"/>
      <c r="G54" s="182"/>
      <c r="H54" s="586"/>
      <c r="I54" s="97"/>
      <c r="J54" s="268"/>
      <c r="K54" s="98"/>
      <c r="L54" s="251"/>
      <c r="M54" s="464"/>
      <c r="N54" s="483" t="s">
        <v>336</v>
      </c>
      <c r="O54" s="479"/>
      <c r="P54" s="479"/>
      <c r="Q54" s="479"/>
      <c r="R54" s="479"/>
      <c r="S54" s="479"/>
      <c r="T54" s="479"/>
      <c r="U54" s="479"/>
      <c r="V54" s="479"/>
      <c r="W54" s="479"/>
      <c r="X54" s="479"/>
      <c r="Y54" s="479"/>
      <c r="Z54" s="479"/>
      <c r="AA54" s="479"/>
    </row>
    <row r="55" spans="1:106" ht="21.5" thickBot="1" x14ac:dyDescent="0.5">
      <c r="A55" s="291" t="s">
        <v>3</v>
      </c>
      <c r="B55" s="292"/>
      <c r="C55" s="94"/>
      <c r="D55" s="94"/>
      <c r="E55" s="95">
        <f>IF(ISNUMBER(B55),IF(B55&gt;B$53*0.2,B$53*0.2,B55),0)</f>
        <v>0</v>
      </c>
      <c r="F55" s="179"/>
      <c r="G55" s="182"/>
      <c r="H55" s="586" t="s">
        <v>4</v>
      </c>
      <c r="I55" s="292"/>
      <c r="J55" s="96"/>
      <c r="K55" s="95">
        <f>IF(S1="Single",0,IF(ISNUMBER(I55),IF(I55&gt;I$53*0.2,I$53*0.2,I55),0))</f>
        <v>0</v>
      </c>
      <c r="L55" s="251"/>
      <c r="M55" s="464"/>
      <c r="N55" s="495" t="s">
        <v>250</v>
      </c>
      <c r="O55" s="479"/>
      <c r="P55" s="479"/>
      <c r="Q55" s="479"/>
      <c r="R55" s="479"/>
      <c r="S55" s="479"/>
      <c r="T55" s="479"/>
      <c r="U55" s="479"/>
      <c r="V55" s="479"/>
      <c r="W55" s="479"/>
      <c r="X55" s="479"/>
      <c r="Y55" s="479"/>
      <c r="Z55" s="479"/>
      <c r="AA55" s="479"/>
    </row>
    <row r="56" spans="1:106" ht="19" thickBot="1" x14ac:dyDescent="0.5">
      <c r="A56" s="291"/>
      <c r="B56" s="97"/>
      <c r="C56" s="94"/>
      <c r="D56" s="94"/>
      <c r="E56" s="293"/>
      <c r="F56" s="179"/>
      <c r="G56" s="182"/>
      <c r="H56" s="586"/>
      <c r="I56" s="97"/>
      <c r="J56" s="268"/>
      <c r="K56" s="293"/>
      <c r="L56" s="251"/>
      <c r="M56" s="464"/>
      <c r="N56" s="483" t="s">
        <v>251</v>
      </c>
      <c r="O56" s="489" t="e">
        <f>O43-G150</f>
        <v>#DIV/0!</v>
      </c>
      <c r="P56" s="479"/>
      <c r="Q56" s="479"/>
      <c r="R56" s="479"/>
      <c r="S56" s="479"/>
      <c r="T56" s="479"/>
      <c r="U56" s="479"/>
      <c r="V56" s="479"/>
      <c r="W56" s="479"/>
      <c r="X56" s="479"/>
      <c r="Y56" s="479"/>
      <c r="Z56" s="479"/>
      <c r="AA56" s="479"/>
    </row>
    <row r="57" spans="1:106" ht="21.5" thickBot="1" x14ac:dyDescent="0.5">
      <c r="A57" s="291" t="s">
        <v>5</v>
      </c>
      <c r="B57" s="292"/>
      <c r="C57" s="94"/>
      <c r="D57" s="94"/>
      <c r="E57" s="95">
        <f>IF(ISNUMBER(B57),IF(B57&gt;B$53*0.2,B$53*0.2,B57),0)</f>
        <v>0</v>
      </c>
      <c r="F57" s="179"/>
      <c r="G57" s="182"/>
      <c r="H57" s="586" t="s">
        <v>6</v>
      </c>
      <c r="I57" s="292"/>
      <c r="J57" s="96"/>
      <c r="K57" s="95">
        <f>IF(S1="Single",0,IF(ISNUMBER(I57),IF(I57&gt;I$53*0.2,I$53*0.2,I57),0))</f>
        <v>0</v>
      </c>
      <c r="L57" s="251"/>
      <c r="M57" s="464"/>
      <c r="N57" s="483" t="s">
        <v>252</v>
      </c>
      <c r="O57" s="483" t="e">
        <f>I146/E148</f>
        <v>#DIV/0!</v>
      </c>
      <c r="P57" s="479"/>
      <c r="Q57" s="479"/>
      <c r="R57" s="479"/>
      <c r="S57" s="479"/>
      <c r="T57" s="479"/>
      <c r="U57" s="479"/>
      <c r="V57" s="479"/>
      <c r="W57" s="479"/>
      <c r="X57" s="479"/>
      <c r="Y57" s="479"/>
      <c r="Z57" s="479"/>
      <c r="AA57" s="479"/>
    </row>
    <row r="58" spans="1:106" ht="19" thickBot="1" x14ac:dyDescent="0.5">
      <c r="A58" s="291"/>
      <c r="B58" s="97"/>
      <c r="C58" s="94"/>
      <c r="D58" s="94"/>
      <c r="E58" s="293"/>
      <c r="F58" s="179"/>
      <c r="G58" s="182"/>
      <c r="H58" s="586"/>
      <c r="I58" s="97"/>
      <c r="J58" s="268"/>
      <c r="K58" s="293"/>
      <c r="L58" s="251"/>
      <c r="M58" s="464"/>
      <c r="N58" s="483" t="s">
        <v>244</v>
      </c>
      <c r="O58" s="479"/>
      <c r="P58" s="479"/>
      <c r="Q58" s="479"/>
      <c r="R58" s="479"/>
      <c r="S58" s="479"/>
      <c r="T58" s="479"/>
      <c r="U58" s="479"/>
      <c r="V58" s="479"/>
      <c r="W58" s="479"/>
      <c r="X58" s="479"/>
      <c r="Y58" s="479"/>
      <c r="Z58" s="479"/>
      <c r="AA58" s="479"/>
    </row>
    <row r="59" spans="1:106" s="276" customFormat="1" ht="19.5" customHeight="1" thickBot="1" x14ac:dyDescent="0.5">
      <c r="A59" s="291" t="s">
        <v>7</v>
      </c>
      <c r="B59" s="292"/>
      <c r="C59" s="94"/>
      <c r="D59" s="94"/>
      <c r="E59" s="95">
        <f>IF(ISNUMBER(B59),IF(B59&gt;B$53*0.2,B$53*0.2,B59),0)</f>
        <v>0</v>
      </c>
      <c r="F59" s="179"/>
      <c r="G59" s="182"/>
      <c r="H59" s="586" t="s">
        <v>8</v>
      </c>
      <c r="I59" s="292"/>
      <c r="J59" s="96"/>
      <c r="K59" s="95">
        <f>IF(S1="Single",0,IF(ISNUMBER(I59),IF(I59&gt;I$53*0.2,I$53*0.2,I59),0))</f>
        <v>0</v>
      </c>
      <c r="L59" s="251"/>
      <c r="M59" s="464"/>
      <c r="N59" s="483" t="s">
        <v>253</v>
      </c>
      <c r="O59" s="479"/>
      <c r="P59" s="479"/>
      <c r="Q59" s="479"/>
      <c r="R59" s="479"/>
      <c r="S59" s="479"/>
      <c r="T59" s="479"/>
      <c r="U59" s="479"/>
      <c r="V59" s="479"/>
      <c r="W59" s="479"/>
      <c r="X59" s="479"/>
      <c r="Y59" s="479"/>
      <c r="Z59" s="479"/>
      <c r="AA59" s="479"/>
      <c r="AB59" s="177"/>
      <c r="AC59" s="177"/>
      <c r="AD59" s="177"/>
      <c r="AE59" s="760"/>
      <c r="AF59" s="760"/>
      <c r="AG59" s="760"/>
      <c r="AH59" s="760"/>
      <c r="AI59" s="760"/>
      <c r="AJ59" s="760"/>
      <c r="AK59" s="760"/>
      <c r="AL59" s="760"/>
      <c r="AM59" s="177"/>
      <c r="AN59" s="177"/>
      <c r="AO59" s="177"/>
      <c r="AP59" s="177"/>
      <c r="AQ59" s="177"/>
      <c r="AR59" s="177"/>
      <c r="AS59" s="177"/>
      <c r="AT59" s="177"/>
      <c r="AU59" s="177"/>
      <c r="AV59" s="177"/>
      <c r="AW59" s="177"/>
      <c r="AX59" s="177"/>
      <c r="AY59" s="177"/>
      <c r="AZ59" s="177"/>
      <c r="BA59" s="177"/>
      <c r="BB59" s="281"/>
      <c r="BC59" s="281"/>
      <c r="BD59" s="281"/>
      <c r="BE59" s="281"/>
      <c r="BF59" s="281"/>
      <c r="BG59" s="281"/>
      <c r="BH59" s="281"/>
      <c r="BI59" s="281"/>
      <c r="BJ59" s="281"/>
      <c r="BK59" s="281"/>
      <c r="BL59" s="281"/>
      <c r="BM59" s="281"/>
      <c r="BN59" s="250"/>
      <c r="BO59" s="250"/>
      <c r="BP59" s="250"/>
      <c r="BQ59" s="250"/>
      <c r="BR59" s="250"/>
      <c r="BS59" s="250"/>
      <c r="BT59" s="250"/>
      <c r="BU59" s="250"/>
      <c r="BV59" s="250"/>
      <c r="BW59" s="250"/>
      <c r="BX59" s="250"/>
      <c r="BY59" s="250"/>
      <c r="BZ59" s="250"/>
      <c r="CA59" s="250"/>
      <c r="CB59" s="250"/>
      <c r="CC59" s="250"/>
      <c r="CD59" s="250"/>
      <c r="CE59" s="250"/>
      <c r="CF59" s="250"/>
      <c r="CG59" s="250"/>
      <c r="CH59" s="281"/>
      <c r="CI59" s="281"/>
      <c r="CJ59" s="281"/>
      <c r="CK59" s="281"/>
      <c r="CL59" s="281"/>
      <c r="CM59" s="250"/>
      <c r="CN59" s="250"/>
      <c r="CO59" s="250"/>
      <c r="CP59" s="250"/>
      <c r="CQ59" s="250"/>
      <c r="CR59" s="250"/>
      <c r="CS59" s="250"/>
      <c r="CT59" s="250"/>
      <c r="CU59" s="250"/>
      <c r="CV59" s="250"/>
      <c r="CW59" s="250"/>
      <c r="CX59" s="250"/>
      <c r="CY59" s="250"/>
      <c r="CZ59" s="250"/>
      <c r="DA59" s="281"/>
    </row>
    <row r="60" spans="1:106" s="276" customFormat="1" ht="19" thickBot="1" x14ac:dyDescent="0.5">
      <c r="A60" s="291"/>
      <c r="B60" s="97"/>
      <c r="C60" s="94"/>
      <c r="D60" s="94"/>
      <c r="E60" s="94"/>
      <c r="F60" s="179"/>
      <c r="G60" s="182"/>
      <c r="H60" s="586"/>
      <c r="I60" s="97"/>
      <c r="J60" s="268"/>
      <c r="K60" s="94"/>
      <c r="L60" s="251"/>
      <c r="N60" s="483" t="s">
        <v>256</v>
      </c>
      <c r="O60" s="478">
        <v>1</v>
      </c>
      <c r="P60" s="478">
        <v>2</v>
      </c>
      <c r="Q60" s="478">
        <v>3</v>
      </c>
      <c r="R60" s="478">
        <v>4</v>
      </c>
      <c r="S60" s="478">
        <v>5</v>
      </c>
      <c r="T60" s="478">
        <v>6</v>
      </c>
      <c r="U60" s="478">
        <v>7</v>
      </c>
      <c r="V60" s="478">
        <v>8</v>
      </c>
      <c r="W60" s="479"/>
      <c r="X60" s="479"/>
      <c r="Y60" s="479"/>
      <c r="Z60" s="479"/>
      <c r="AA60" s="479"/>
      <c r="AB60" s="177"/>
      <c r="AC60" s="177"/>
      <c r="AD60" s="177"/>
      <c r="AE60" s="760"/>
      <c r="AF60" s="760"/>
      <c r="AG60" s="760"/>
      <c r="AH60" s="760"/>
      <c r="AI60" s="760"/>
      <c r="AJ60" s="760"/>
      <c r="AK60" s="760"/>
      <c r="AL60" s="760"/>
      <c r="AM60" s="177"/>
      <c r="AN60" s="177"/>
      <c r="AO60" s="177"/>
      <c r="AP60" s="177"/>
      <c r="AQ60" s="177"/>
      <c r="AR60" s="177"/>
      <c r="AS60" s="177"/>
      <c r="AT60" s="177"/>
      <c r="AU60" s="177"/>
      <c r="AV60" s="177"/>
      <c r="AW60" s="177"/>
      <c r="AX60" s="177"/>
      <c r="AY60" s="177"/>
      <c r="AZ60" s="177"/>
      <c r="BA60" s="177"/>
      <c r="BB60" s="281"/>
      <c r="BC60" s="281"/>
      <c r="BD60" s="281"/>
      <c r="BE60" s="281"/>
      <c r="BF60" s="281"/>
      <c r="BG60" s="281"/>
      <c r="BH60" s="281"/>
      <c r="BI60" s="281"/>
      <c r="BJ60" s="281"/>
      <c r="BK60" s="281"/>
      <c r="BL60" s="281"/>
      <c r="BM60" s="281"/>
      <c r="BN60" s="250"/>
      <c r="BO60" s="250"/>
      <c r="BP60" s="250"/>
      <c r="BQ60" s="250"/>
      <c r="BR60" s="250"/>
      <c r="BS60" s="250"/>
      <c r="BT60" s="250"/>
      <c r="BU60" s="250"/>
      <c r="BV60" s="250"/>
      <c r="BW60" s="250"/>
      <c r="BX60" s="250"/>
      <c r="BY60" s="250"/>
      <c r="BZ60" s="250"/>
      <c r="CA60" s="250"/>
      <c r="CB60" s="250"/>
      <c r="CC60" s="250"/>
      <c r="CD60" s="250"/>
      <c r="CE60" s="250"/>
      <c r="CF60" s="250"/>
      <c r="CG60" s="250"/>
      <c r="CH60" s="281"/>
      <c r="CI60" s="281"/>
      <c r="CJ60" s="281"/>
      <c r="CK60" s="281"/>
      <c r="CL60" s="281"/>
      <c r="CM60" s="250"/>
      <c r="CN60" s="250"/>
      <c r="CO60" s="250"/>
      <c r="CP60" s="250"/>
      <c r="CQ60" s="250"/>
      <c r="CR60" s="250"/>
      <c r="CS60" s="250"/>
      <c r="CT60" s="250"/>
      <c r="CU60" s="250"/>
      <c r="CV60" s="250"/>
      <c r="CW60" s="250"/>
      <c r="CX60" s="250"/>
      <c r="CY60" s="250"/>
      <c r="CZ60" s="250"/>
      <c r="DA60" s="281"/>
    </row>
    <row r="61" spans="1:106" s="276" customFormat="1" ht="21.5" thickBot="1" x14ac:dyDescent="0.5">
      <c r="A61" s="291" t="s">
        <v>9</v>
      </c>
      <c r="B61" s="292"/>
      <c r="C61" s="94"/>
      <c r="D61" s="94"/>
      <c r="E61" s="95">
        <f>B61</f>
        <v>0</v>
      </c>
      <c r="F61" s="179"/>
      <c r="G61" s="182"/>
      <c r="H61" s="586" t="s">
        <v>10</v>
      </c>
      <c r="I61" s="292"/>
      <c r="J61" s="96"/>
      <c r="K61" s="95">
        <f>IF(S1="Single",0,I61)</f>
        <v>0</v>
      </c>
      <c r="L61" s="251"/>
      <c r="N61" s="495" t="s">
        <v>337</v>
      </c>
      <c r="O61" s="479"/>
      <c r="P61" s="479"/>
      <c r="Q61" s="479"/>
      <c r="R61" s="479"/>
      <c r="S61" s="479"/>
      <c r="T61" s="479"/>
      <c r="U61" s="479"/>
      <c r="V61" s="479"/>
      <c r="W61" s="479"/>
      <c r="X61" s="479"/>
      <c r="Y61" s="479"/>
      <c r="Z61" s="479"/>
      <c r="AA61" s="479"/>
      <c r="AB61" s="177"/>
      <c r="AC61" s="177"/>
      <c r="AD61" s="177"/>
      <c r="AE61" s="760"/>
      <c r="AF61" s="760"/>
      <c r="AG61" s="760"/>
      <c r="AH61" s="760"/>
      <c r="AI61" s="760"/>
      <c r="AJ61" s="760"/>
      <c r="AK61" s="760"/>
      <c r="AL61" s="760"/>
      <c r="AM61" s="177"/>
      <c r="AN61" s="177"/>
      <c r="AO61" s="177"/>
      <c r="AP61" s="177"/>
      <c r="AQ61" s="177"/>
      <c r="AR61" s="177"/>
      <c r="AS61" s="177"/>
      <c r="AT61" s="177"/>
      <c r="AU61" s="177"/>
      <c r="AV61" s="177"/>
      <c r="AW61" s="177"/>
      <c r="AX61" s="177"/>
      <c r="AY61" s="177"/>
      <c r="AZ61" s="177"/>
      <c r="BA61" s="177"/>
      <c r="BB61" s="281"/>
      <c r="BC61" s="281"/>
      <c r="BD61" s="281"/>
      <c r="BE61" s="281"/>
      <c r="BF61" s="281"/>
      <c r="BG61" s="281"/>
      <c r="BH61" s="281"/>
      <c r="BI61" s="281"/>
      <c r="BJ61" s="281"/>
      <c r="BK61" s="281"/>
      <c r="BL61" s="281"/>
      <c r="BM61" s="281"/>
      <c r="BN61" s="250"/>
      <c r="BO61" s="250"/>
      <c r="BP61" s="250"/>
      <c r="BQ61" s="250"/>
      <c r="BR61" s="250"/>
      <c r="BS61" s="250"/>
      <c r="BT61" s="250"/>
      <c r="BU61" s="250"/>
      <c r="BV61" s="250"/>
      <c r="BW61" s="250"/>
      <c r="BX61" s="250"/>
      <c r="BY61" s="250"/>
      <c r="BZ61" s="250"/>
      <c r="CA61" s="250"/>
      <c r="CB61" s="250"/>
      <c r="CC61" s="250"/>
      <c r="CD61" s="250"/>
      <c r="CE61" s="250"/>
      <c r="CF61" s="250"/>
      <c r="CG61" s="250"/>
      <c r="CH61" s="281"/>
      <c r="CI61" s="281"/>
      <c r="CJ61" s="281"/>
      <c r="CK61" s="281"/>
      <c r="CL61" s="281"/>
      <c r="CM61" s="250"/>
      <c r="CN61" s="250"/>
      <c r="CO61" s="250"/>
      <c r="CP61" s="250"/>
      <c r="CQ61" s="250"/>
      <c r="CR61" s="250"/>
      <c r="CS61" s="250"/>
      <c r="CT61" s="250"/>
      <c r="CU61" s="250"/>
      <c r="CV61" s="250"/>
      <c r="CW61" s="250"/>
      <c r="CX61" s="250"/>
      <c r="CY61" s="250"/>
      <c r="CZ61" s="250"/>
      <c r="DA61" s="281"/>
      <c r="DB61" s="357"/>
    </row>
    <row r="62" spans="1:106" s="276" customFormat="1" ht="16" thickBot="1" x14ac:dyDescent="0.4">
      <c r="A62" s="260"/>
      <c r="B62" s="99"/>
      <c r="C62" s="100"/>
      <c r="D62" s="100"/>
      <c r="E62" s="101"/>
      <c r="F62" s="179"/>
      <c r="G62" s="179"/>
      <c r="H62" s="100"/>
      <c r="I62" s="99"/>
      <c r="J62" s="92"/>
      <c r="K62" s="101"/>
      <c r="L62" s="251"/>
      <c r="M62" s="464"/>
      <c r="N62" s="483" t="s">
        <v>257</v>
      </c>
      <c r="O62" s="483" t="s">
        <v>258</v>
      </c>
      <c r="P62" s="479"/>
      <c r="Q62" s="479"/>
      <c r="R62" s="479"/>
      <c r="S62" s="479"/>
      <c r="T62" s="479"/>
      <c r="U62" s="479"/>
      <c r="V62" s="479"/>
      <c r="W62" s="479"/>
      <c r="X62" s="479"/>
      <c r="Y62" s="479"/>
      <c r="Z62" s="479"/>
      <c r="AA62" s="479"/>
      <c r="AB62" s="177"/>
      <c r="AC62" s="177"/>
      <c r="AD62" s="177"/>
      <c r="AE62" s="760"/>
      <c r="AF62" s="760"/>
      <c r="AG62" s="760"/>
      <c r="AH62" s="760"/>
      <c r="AI62" s="760"/>
      <c r="AJ62" s="760"/>
      <c r="AK62" s="760"/>
      <c r="AL62" s="760"/>
      <c r="AM62" s="177"/>
      <c r="AN62" s="177"/>
      <c r="AO62" s="177"/>
      <c r="AP62" s="177"/>
      <c r="AQ62" s="177"/>
      <c r="AR62" s="177"/>
      <c r="AS62" s="177"/>
      <c r="AT62" s="177"/>
      <c r="AU62" s="177"/>
      <c r="AV62" s="177"/>
      <c r="AW62" s="177"/>
      <c r="AX62" s="177"/>
      <c r="AY62" s="177"/>
      <c r="AZ62" s="177"/>
      <c r="BA62" s="177"/>
      <c r="BB62" s="281"/>
      <c r="BC62" s="281"/>
      <c r="BD62" s="281"/>
      <c r="BE62" s="281"/>
      <c r="BF62" s="281"/>
      <c r="BG62" s="281"/>
      <c r="BH62" s="281"/>
      <c r="BI62" s="281"/>
      <c r="BJ62" s="281"/>
      <c r="BK62" s="281"/>
      <c r="BL62" s="281"/>
      <c r="BM62" s="281"/>
      <c r="BN62" s="250"/>
      <c r="BO62" s="250"/>
      <c r="BP62" s="250"/>
      <c r="BQ62" s="250"/>
      <c r="BR62" s="250"/>
      <c r="BS62" s="250"/>
      <c r="BT62" s="250"/>
      <c r="BU62" s="250"/>
      <c r="BV62" s="250"/>
      <c r="BW62" s="250"/>
      <c r="BX62" s="250"/>
      <c r="BY62" s="250"/>
      <c r="BZ62" s="250"/>
      <c r="CA62" s="250"/>
      <c r="CB62" s="250"/>
      <c r="CC62" s="250"/>
      <c r="CD62" s="250"/>
      <c r="CE62" s="250"/>
      <c r="CF62" s="250"/>
      <c r="CG62" s="250"/>
      <c r="CH62" s="281"/>
      <c r="CI62" s="281"/>
      <c r="CJ62" s="281"/>
      <c r="CK62" s="281"/>
      <c r="CL62" s="281"/>
      <c r="CM62" s="250"/>
      <c r="CN62" s="250"/>
      <c r="CO62" s="250"/>
      <c r="CP62" s="250"/>
      <c r="CQ62" s="250"/>
      <c r="CR62" s="250"/>
      <c r="CS62" s="250"/>
      <c r="CT62" s="250"/>
      <c r="CU62" s="250"/>
      <c r="CV62" s="250"/>
      <c r="CW62" s="250"/>
      <c r="CX62" s="250"/>
      <c r="CY62" s="250"/>
      <c r="CZ62" s="250"/>
      <c r="DA62" s="281"/>
    </row>
    <row r="63" spans="1:106" s="276" customFormat="1" ht="19" thickBot="1" x14ac:dyDescent="0.5">
      <c r="A63" s="260" t="s">
        <v>91</v>
      </c>
      <c r="B63" s="179"/>
      <c r="C63" s="179"/>
      <c r="D63" s="179"/>
      <c r="E63" s="102">
        <f>IF(SUM(E55,E57,E59)&gt;(E53*0.5),(E53*0.5)+E53+E61,SUM(E53,E55,E57,E59,E61))</f>
        <v>0</v>
      </c>
      <c r="F63" s="179"/>
      <c r="G63" s="179"/>
      <c r="H63" s="179"/>
      <c r="I63" s="179"/>
      <c r="J63" s="294"/>
      <c r="K63" s="102">
        <f>IF(SUM(K55,K57,K59)&gt;(K53*0.5),(K53*0.5)+K53+K61,SUM(K53,K55,K57,K59,K61))</f>
        <v>0</v>
      </c>
      <c r="L63" s="251"/>
      <c r="M63" s="464"/>
      <c r="N63" s="484"/>
      <c r="O63" s="496"/>
      <c r="P63" s="479"/>
      <c r="Q63" s="479"/>
      <c r="R63" s="479"/>
      <c r="S63" s="479"/>
      <c r="T63" s="479"/>
      <c r="U63" s="479"/>
      <c r="V63" s="479"/>
      <c r="W63" s="479"/>
      <c r="X63" s="479"/>
      <c r="Y63" s="479"/>
      <c r="Z63" s="479"/>
      <c r="AA63" s="479"/>
      <c r="AB63" s="177"/>
      <c r="AC63" s="177"/>
      <c r="AD63" s="177"/>
      <c r="AE63" s="760"/>
      <c r="AF63" s="760"/>
      <c r="AG63" s="760"/>
      <c r="AH63" s="760"/>
      <c r="AI63" s="760"/>
      <c r="AJ63" s="760"/>
      <c r="AK63" s="760"/>
      <c r="AL63" s="760"/>
      <c r="AM63" s="177"/>
      <c r="AN63" s="177"/>
      <c r="AO63" s="177"/>
      <c r="AP63" s="177"/>
      <c r="AQ63" s="177"/>
      <c r="AR63" s="177"/>
      <c r="AS63" s="177"/>
      <c r="AT63" s="177"/>
      <c r="AU63" s="177"/>
      <c r="AV63" s="177"/>
      <c r="AW63" s="177"/>
      <c r="AX63" s="177"/>
      <c r="AY63" s="177"/>
      <c r="AZ63" s="177"/>
      <c r="BA63" s="177"/>
      <c r="BB63" s="281"/>
      <c r="BC63" s="281"/>
      <c r="BD63" s="281"/>
      <c r="BE63" s="281"/>
      <c r="BF63" s="281"/>
      <c r="BG63" s="281"/>
      <c r="BH63" s="281"/>
      <c r="BI63" s="281"/>
      <c r="BJ63" s="281"/>
      <c r="BK63" s="281"/>
      <c r="BL63" s="281"/>
      <c r="BM63" s="281"/>
      <c r="BN63" s="250"/>
      <c r="BO63" s="250"/>
      <c r="BP63" s="250"/>
      <c r="BQ63" s="250"/>
      <c r="BR63" s="250"/>
      <c r="BS63" s="250"/>
      <c r="BT63" s="250"/>
      <c r="BU63" s="250"/>
      <c r="BV63" s="250"/>
      <c r="BW63" s="250"/>
      <c r="BX63" s="250"/>
      <c r="BY63" s="250"/>
      <c r="BZ63" s="250"/>
      <c r="CA63" s="250"/>
      <c r="CB63" s="250"/>
      <c r="CC63" s="250"/>
      <c r="CD63" s="250"/>
      <c r="CE63" s="250"/>
      <c r="CF63" s="250"/>
      <c r="CG63" s="250"/>
      <c r="CH63" s="281"/>
      <c r="CI63" s="281"/>
      <c r="CJ63" s="281"/>
      <c r="CK63" s="281"/>
      <c r="CL63" s="281"/>
      <c r="CM63" s="250"/>
      <c r="CN63" s="250"/>
      <c r="CO63" s="250"/>
      <c r="CP63" s="250"/>
      <c r="CQ63" s="250"/>
      <c r="CR63" s="250"/>
      <c r="CS63" s="250"/>
      <c r="CT63" s="250"/>
      <c r="CU63" s="250"/>
      <c r="CV63" s="250"/>
      <c r="CW63" s="250"/>
      <c r="CX63" s="250"/>
      <c r="CY63" s="250"/>
      <c r="CZ63" s="250"/>
      <c r="DA63" s="281"/>
    </row>
    <row r="64" spans="1:106" s="276" customFormat="1" ht="15.5" hidden="1" x14ac:dyDescent="0.35">
      <c r="A64" s="249" t="s">
        <v>24</v>
      </c>
      <c r="B64" s="179"/>
      <c r="C64" s="179"/>
      <c r="D64" s="179"/>
      <c r="E64" s="179"/>
      <c r="F64" s="179"/>
      <c r="G64" s="179"/>
      <c r="H64" s="179"/>
      <c r="I64" s="295">
        <f>CEILING(E63,5000)</f>
        <v>0</v>
      </c>
      <c r="J64" s="296"/>
      <c r="K64" s="295">
        <f>CEILING(K63,5000)</f>
        <v>0</v>
      </c>
      <c r="L64" s="251"/>
      <c r="M64" s="464"/>
      <c r="N64" s="483"/>
      <c r="O64" s="497"/>
      <c r="P64" s="479"/>
      <c r="Q64" s="479"/>
      <c r="R64" s="479"/>
      <c r="S64" s="479"/>
      <c r="T64" s="479"/>
      <c r="U64" s="479"/>
      <c r="V64" s="479"/>
      <c r="W64" s="479"/>
      <c r="X64" s="479"/>
      <c r="Y64" s="479"/>
      <c r="Z64" s="479"/>
      <c r="AA64" s="479"/>
      <c r="AB64" s="177"/>
      <c r="AC64" s="177"/>
      <c r="AD64" s="177"/>
      <c r="AE64" s="760"/>
      <c r="AF64" s="760"/>
      <c r="AG64" s="760"/>
      <c r="AH64" s="760"/>
      <c r="AI64" s="760"/>
      <c r="AJ64" s="760"/>
      <c r="AK64" s="760"/>
      <c r="AL64" s="760"/>
      <c r="AM64" s="177"/>
      <c r="AN64" s="177"/>
      <c r="AO64" s="177"/>
      <c r="AP64" s="177"/>
      <c r="AQ64" s="177"/>
      <c r="AR64" s="177"/>
      <c r="AS64" s="177"/>
      <c r="AT64" s="177"/>
      <c r="AU64" s="177"/>
      <c r="AV64" s="177"/>
      <c r="AW64" s="177"/>
      <c r="AX64" s="177"/>
      <c r="AY64" s="177"/>
      <c r="AZ64" s="177"/>
      <c r="BA64" s="177"/>
      <c r="BB64" s="281"/>
      <c r="BC64" s="281"/>
      <c r="BD64" s="281"/>
      <c r="BE64" s="281"/>
      <c r="BF64" s="281"/>
      <c r="BG64" s="281"/>
      <c r="BH64" s="281"/>
      <c r="BI64" s="281"/>
      <c r="BJ64" s="281"/>
      <c r="BK64" s="281"/>
      <c r="BL64" s="281"/>
      <c r="BM64" s="281"/>
      <c r="BN64" s="250"/>
      <c r="BO64" s="250"/>
      <c r="BP64" s="250"/>
      <c r="BQ64" s="250"/>
      <c r="BR64" s="250"/>
      <c r="BS64" s="250"/>
      <c r="BT64" s="250"/>
      <c r="BU64" s="250"/>
      <c r="BV64" s="250"/>
      <c r="BW64" s="250"/>
      <c r="BX64" s="250"/>
      <c r="BY64" s="250"/>
      <c r="BZ64" s="250"/>
      <c r="CA64" s="250"/>
      <c r="CB64" s="250"/>
      <c r="CC64" s="250"/>
      <c r="CD64" s="250"/>
      <c r="CE64" s="250"/>
      <c r="CF64" s="250"/>
      <c r="CG64" s="250"/>
      <c r="CH64" s="281"/>
      <c r="CI64" s="281"/>
      <c r="CJ64" s="281"/>
      <c r="CK64" s="281"/>
      <c r="CL64" s="281"/>
      <c r="CM64" s="250"/>
      <c r="CN64" s="250"/>
      <c r="CO64" s="250"/>
      <c r="CP64" s="250"/>
      <c r="CQ64" s="250"/>
      <c r="CR64" s="250"/>
      <c r="CS64" s="250"/>
      <c r="CT64" s="250"/>
      <c r="CU64" s="250"/>
      <c r="CV64" s="250"/>
      <c r="CW64" s="250"/>
      <c r="CX64" s="250"/>
      <c r="CY64" s="250"/>
      <c r="CZ64" s="250"/>
      <c r="DA64" s="281"/>
    </row>
    <row r="65" spans="1:105" s="276" customFormat="1" ht="5.25" hidden="1" customHeight="1" thickBot="1" x14ac:dyDescent="0.4">
      <c r="A65" s="249"/>
      <c r="B65" s="179"/>
      <c r="C65" s="179"/>
      <c r="D65" s="179"/>
      <c r="E65" s="179"/>
      <c r="F65" s="179"/>
      <c r="G65" s="179"/>
      <c r="H65" s="179"/>
      <c r="I65" s="295"/>
      <c r="J65" s="296"/>
      <c r="K65" s="295"/>
      <c r="L65" s="251"/>
      <c r="M65" s="464"/>
      <c r="N65" s="483"/>
      <c r="O65" s="479"/>
      <c r="P65" s="479"/>
      <c r="Q65" s="479"/>
      <c r="R65" s="479"/>
      <c r="S65" s="479"/>
      <c r="T65" s="479"/>
      <c r="U65" s="479"/>
      <c r="V65" s="479"/>
      <c r="W65" s="479"/>
      <c r="X65" s="479"/>
      <c r="Y65" s="479"/>
      <c r="Z65" s="479"/>
      <c r="AA65" s="479"/>
      <c r="AB65" s="177"/>
      <c r="AC65" s="177"/>
      <c r="AD65" s="177"/>
      <c r="AE65" s="760"/>
      <c r="AF65" s="760"/>
      <c r="AG65" s="760"/>
      <c r="AH65" s="760"/>
      <c r="AI65" s="760"/>
      <c r="AJ65" s="760"/>
      <c r="AK65" s="760"/>
      <c r="AL65" s="760"/>
      <c r="AM65" s="177"/>
      <c r="AN65" s="177"/>
      <c r="AO65" s="177"/>
      <c r="AP65" s="177"/>
      <c r="AQ65" s="177"/>
      <c r="AR65" s="177"/>
      <c r="AS65" s="177"/>
      <c r="AT65" s="177"/>
      <c r="AU65" s="177"/>
      <c r="AV65" s="177"/>
      <c r="AW65" s="177"/>
      <c r="AX65" s="177"/>
      <c r="AY65" s="177"/>
      <c r="AZ65" s="177"/>
      <c r="BA65" s="177"/>
      <c r="BB65" s="281"/>
      <c r="BC65" s="281"/>
      <c r="BD65" s="281"/>
      <c r="BE65" s="281"/>
      <c r="BF65" s="281"/>
      <c r="BG65" s="281"/>
      <c r="BH65" s="281"/>
      <c r="BI65" s="281"/>
      <c r="BJ65" s="281"/>
      <c r="BK65" s="281"/>
      <c r="BL65" s="281"/>
      <c r="BM65" s="281"/>
      <c r="BN65" s="250"/>
      <c r="BO65" s="250"/>
      <c r="BP65" s="250"/>
      <c r="BQ65" s="250"/>
      <c r="BR65" s="250"/>
      <c r="BS65" s="250"/>
      <c r="BT65" s="250"/>
      <c r="BU65" s="250"/>
      <c r="BV65" s="250"/>
      <c r="BW65" s="250"/>
      <c r="BX65" s="250"/>
      <c r="BY65" s="250"/>
      <c r="BZ65" s="250"/>
      <c r="CA65" s="250"/>
      <c r="CB65" s="250"/>
      <c r="CC65" s="250"/>
      <c r="CD65" s="250"/>
      <c r="CE65" s="250"/>
      <c r="CF65" s="250"/>
      <c r="CG65" s="250"/>
      <c r="CH65" s="281"/>
      <c r="CI65" s="281"/>
      <c r="CJ65" s="281"/>
      <c r="CK65" s="281"/>
      <c r="CL65" s="281"/>
      <c r="CM65" s="250"/>
      <c r="CN65" s="250"/>
      <c r="CO65" s="250"/>
      <c r="CP65" s="250"/>
      <c r="CQ65" s="250"/>
      <c r="CR65" s="250"/>
      <c r="CS65" s="250"/>
      <c r="CT65" s="250"/>
      <c r="CU65" s="250"/>
      <c r="CV65" s="250"/>
      <c r="CW65" s="250"/>
      <c r="CX65" s="250"/>
      <c r="CY65" s="250"/>
      <c r="CZ65" s="250"/>
      <c r="DA65" s="281"/>
    </row>
    <row r="66" spans="1:105" s="276" customFormat="1" ht="16" hidden="1" thickBot="1" x14ac:dyDescent="0.4">
      <c r="A66" s="260" t="s">
        <v>14</v>
      </c>
      <c r="B66" s="179"/>
      <c r="C66" s="297"/>
      <c r="D66" s="297"/>
      <c r="E66" s="297"/>
      <c r="F66" s="179"/>
      <c r="G66" s="297" t="s">
        <v>15</v>
      </c>
      <c r="H66" s="297"/>
      <c r="I66" s="298" t="e">
        <f>IF(X1="Married X 1 Income",VLOOKUP(I64,$A$186:$C$885,3),VLOOKUP(I64,$A$186:$C$885,2))</f>
        <v>#N/A</v>
      </c>
      <c r="J66" s="182" t="s">
        <v>16</v>
      </c>
      <c r="K66" s="298" t="e">
        <f>IF(X2="Married X 1 Income",VLOOKUP(K64,$A$186:$C$885,3),VLOOKUP(K64,$A$186:$C$885,2))</f>
        <v>#N/A</v>
      </c>
      <c r="L66" s="251"/>
      <c r="M66" s="464"/>
      <c r="N66" s="483"/>
      <c r="O66" s="479"/>
      <c r="P66" s="479"/>
      <c r="Q66" s="479"/>
      <c r="R66" s="479"/>
      <c r="S66" s="479"/>
      <c r="T66" s="479"/>
      <c r="U66" s="479"/>
      <c r="V66" s="479"/>
      <c r="W66" s="479"/>
      <c r="X66" s="479"/>
      <c r="Y66" s="498"/>
      <c r="Z66" s="479"/>
      <c r="AA66" s="479"/>
      <c r="AB66" s="177"/>
      <c r="AC66" s="177"/>
      <c r="AD66" s="177"/>
      <c r="AE66" s="760"/>
      <c r="AF66" s="760"/>
      <c r="AG66" s="760"/>
      <c r="AH66" s="760"/>
      <c r="AI66" s="760"/>
      <c r="AJ66" s="760"/>
      <c r="AK66" s="760"/>
      <c r="AL66" s="760"/>
      <c r="AM66" s="177"/>
      <c r="AN66" s="177"/>
      <c r="AO66" s="177"/>
      <c r="AP66" s="177"/>
      <c r="AQ66" s="177"/>
      <c r="AR66" s="177"/>
      <c r="AS66" s="177"/>
      <c r="AT66" s="177"/>
      <c r="AU66" s="177"/>
      <c r="AV66" s="177"/>
      <c r="AW66" s="177"/>
      <c r="AX66" s="177"/>
      <c r="AY66" s="177"/>
      <c r="AZ66" s="177"/>
      <c r="BA66" s="177"/>
      <c r="BB66" s="281"/>
      <c r="BC66" s="281"/>
      <c r="BD66" s="281"/>
      <c r="BE66" s="281"/>
      <c r="BF66" s="281"/>
      <c r="BG66" s="281"/>
      <c r="BH66" s="281"/>
      <c r="BI66" s="281"/>
      <c r="BJ66" s="281"/>
      <c r="BK66" s="281"/>
      <c r="BL66" s="281"/>
      <c r="BM66" s="281"/>
      <c r="BN66" s="250"/>
      <c r="BO66" s="250"/>
      <c r="BP66" s="250"/>
      <c r="BQ66" s="250"/>
      <c r="BR66" s="250"/>
      <c r="BS66" s="250"/>
      <c r="BT66" s="250"/>
      <c r="BU66" s="250"/>
      <c r="BV66" s="250"/>
      <c r="BW66" s="250"/>
      <c r="BX66" s="250"/>
      <c r="BY66" s="250"/>
      <c r="BZ66" s="250"/>
      <c r="CA66" s="250"/>
      <c r="CB66" s="250"/>
      <c r="CC66" s="250"/>
      <c r="CD66" s="250"/>
      <c r="CE66" s="250"/>
      <c r="CF66" s="250"/>
      <c r="CG66" s="250"/>
      <c r="CH66" s="281"/>
      <c r="CI66" s="281"/>
      <c r="CJ66" s="281"/>
      <c r="CK66" s="281"/>
      <c r="CL66" s="281"/>
      <c r="CM66" s="250"/>
      <c r="CN66" s="250"/>
      <c r="CO66" s="250"/>
      <c r="CP66" s="250"/>
      <c r="CQ66" s="250"/>
      <c r="CR66" s="250"/>
      <c r="CS66" s="250"/>
      <c r="CT66" s="250"/>
      <c r="CU66" s="250"/>
      <c r="CV66" s="250"/>
      <c r="CW66" s="250"/>
      <c r="CX66" s="250"/>
      <c r="CY66" s="250"/>
      <c r="CZ66" s="250"/>
      <c r="DA66" s="281"/>
    </row>
    <row r="67" spans="1:105" s="276" customFormat="1" ht="16" hidden="1" thickBot="1" x14ac:dyDescent="0.4">
      <c r="A67" s="260"/>
      <c r="B67" s="179"/>
      <c r="C67" s="179"/>
      <c r="D67" s="179"/>
      <c r="E67" s="179"/>
      <c r="F67" s="179"/>
      <c r="G67" s="179"/>
      <c r="H67" s="179"/>
      <c r="I67" s="103"/>
      <c r="J67" s="294"/>
      <c r="K67" s="299" t="s">
        <v>12</v>
      </c>
      <c r="L67" s="251"/>
      <c r="M67" s="464"/>
      <c r="N67" s="483"/>
      <c r="O67" s="479"/>
      <c r="P67" s="479"/>
      <c r="Q67" s="479"/>
      <c r="R67" s="479"/>
      <c r="S67" s="479"/>
      <c r="T67" s="479"/>
      <c r="U67" s="479"/>
      <c r="V67" s="479"/>
      <c r="W67" s="479"/>
      <c r="X67" s="479"/>
      <c r="Y67" s="479"/>
      <c r="Z67" s="479"/>
      <c r="AA67" s="479"/>
      <c r="AB67" s="177"/>
      <c r="AC67" s="177"/>
      <c r="AD67" s="177"/>
      <c r="AE67" s="760"/>
      <c r="AF67" s="760"/>
      <c r="AG67" s="760"/>
      <c r="AH67" s="760"/>
      <c r="AI67" s="760"/>
      <c r="AJ67" s="760"/>
      <c r="AK67" s="760"/>
      <c r="AL67" s="760"/>
      <c r="AM67" s="177"/>
      <c r="AN67" s="177"/>
      <c r="AO67" s="177"/>
      <c r="AP67" s="177"/>
      <c r="AQ67" s="177"/>
      <c r="AR67" s="177"/>
      <c r="AS67" s="177"/>
      <c r="AT67" s="177"/>
      <c r="AU67" s="177"/>
      <c r="AV67" s="177"/>
      <c r="AW67" s="177"/>
      <c r="AX67" s="177"/>
      <c r="AY67" s="177"/>
      <c r="AZ67" s="177"/>
      <c r="BA67" s="177"/>
      <c r="BB67" s="281"/>
      <c r="BC67" s="281"/>
      <c r="BD67" s="281"/>
      <c r="BE67" s="281"/>
      <c r="BF67" s="281"/>
      <c r="BG67" s="281"/>
      <c r="BH67" s="281"/>
      <c r="BI67" s="281"/>
      <c r="BJ67" s="281"/>
      <c r="BK67" s="281"/>
      <c r="BL67" s="281"/>
      <c r="BM67" s="281"/>
      <c r="BN67" s="250"/>
      <c r="BO67" s="250"/>
      <c r="BP67" s="250"/>
      <c r="BQ67" s="250"/>
      <c r="BR67" s="250"/>
      <c r="BS67" s="250"/>
      <c r="BT67" s="250"/>
      <c r="BU67" s="250"/>
      <c r="BV67" s="250"/>
      <c r="BW67" s="250"/>
      <c r="BX67" s="250"/>
      <c r="BY67" s="250"/>
      <c r="BZ67" s="250"/>
      <c r="CA67" s="250"/>
      <c r="CB67" s="250"/>
      <c r="CC67" s="250"/>
      <c r="CD67" s="250"/>
      <c r="CE67" s="250"/>
      <c r="CF67" s="250"/>
      <c r="CG67" s="250"/>
      <c r="CH67" s="281"/>
      <c r="CI67" s="281"/>
      <c r="CJ67" s="281"/>
      <c r="CK67" s="281"/>
      <c r="CL67" s="281"/>
      <c r="CM67" s="250"/>
      <c r="CN67" s="250"/>
      <c r="CO67" s="250"/>
      <c r="CP67" s="250"/>
      <c r="CQ67" s="250"/>
      <c r="CR67" s="250"/>
      <c r="CS67" s="250"/>
      <c r="CT67" s="250"/>
      <c r="CU67" s="250"/>
      <c r="CV67" s="250"/>
      <c r="CW67" s="250"/>
      <c r="CX67" s="250"/>
      <c r="CY67" s="250"/>
      <c r="CZ67" s="250"/>
      <c r="DA67" s="281"/>
    </row>
    <row r="68" spans="1:105" s="276" customFormat="1" ht="16" hidden="1" thickBot="1" x14ac:dyDescent="0.4">
      <c r="A68" s="300" t="s">
        <v>17</v>
      </c>
      <c r="B68" s="179"/>
      <c r="C68" s="179"/>
      <c r="D68" s="179"/>
      <c r="E68" s="179"/>
      <c r="F68" s="179"/>
      <c r="G68" s="301" t="s">
        <v>13</v>
      </c>
      <c r="H68" s="179"/>
      <c r="I68" s="103" t="e">
        <f>(I66*E63)</f>
        <v>#N/A</v>
      </c>
      <c r="J68" s="301" t="s">
        <v>13</v>
      </c>
      <c r="K68" s="302" t="e">
        <f>K63*K66</f>
        <v>#N/A</v>
      </c>
      <c r="L68" s="251"/>
      <c r="M68" s="464"/>
      <c r="N68" s="483"/>
      <c r="O68" s="486"/>
      <c r="P68" s="486"/>
      <c r="Q68" s="486"/>
      <c r="R68" s="486"/>
      <c r="S68" s="486"/>
      <c r="T68" s="486"/>
      <c r="U68" s="486"/>
      <c r="V68" s="486"/>
      <c r="W68" s="479"/>
      <c r="X68" s="479"/>
      <c r="Y68" s="479"/>
      <c r="Z68" s="479"/>
      <c r="AA68" s="479"/>
      <c r="AB68" s="177"/>
      <c r="AC68" s="177"/>
      <c r="AD68" s="177"/>
      <c r="AE68" s="760"/>
      <c r="AF68" s="760"/>
      <c r="AG68" s="760"/>
      <c r="AH68" s="760"/>
      <c r="AI68" s="760"/>
      <c r="AJ68" s="760"/>
      <c r="AK68" s="760"/>
      <c r="AL68" s="760"/>
      <c r="AM68" s="177"/>
      <c r="AN68" s="177"/>
      <c r="AO68" s="177"/>
      <c r="AP68" s="177"/>
      <c r="AQ68" s="177"/>
      <c r="AR68" s="177"/>
      <c r="AS68" s="177"/>
      <c r="AT68" s="177"/>
      <c r="AU68" s="177"/>
      <c r="AV68" s="177"/>
      <c r="AW68" s="177"/>
      <c r="AX68" s="177"/>
      <c r="AY68" s="177"/>
      <c r="AZ68" s="177"/>
      <c r="BA68" s="177"/>
      <c r="BB68" s="281"/>
      <c r="BC68" s="281"/>
      <c r="BD68" s="281"/>
      <c r="BE68" s="281"/>
      <c r="BF68" s="281"/>
      <c r="BG68" s="281"/>
      <c r="BH68" s="281"/>
      <c r="BI68" s="281"/>
      <c r="BJ68" s="281"/>
      <c r="BK68" s="281"/>
      <c r="BL68" s="281"/>
      <c r="BM68" s="281"/>
      <c r="BN68" s="250"/>
      <c r="BO68" s="250"/>
      <c r="BP68" s="250"/>
      <c r="BQ68" s="250"/>
      <c r="BR68" s="250"/>
      <c r="BS68" s="250"/>
      <c r="BT68" s="250"/>
      <c r="BU68" s="250"/>
      <c r="BV68" s="250"/>
      <c r="BW68" s="250"/>
      <c r="BX68" s="250"/>
      <c r="BY68" s="250"/>
      <c r="BZ68" s="250"/>
      <c r="CA68" s="250"/>
      <c r="CB68" s="250"/>
      <c r="CC68" s="250"/>
      <c r="CD68" s="250"/>
      <c r="CE68" s="250"/>
      <c r="CF68" s="250"/>
      <c r="CG68" s="250"/>
      <c r="CH68" s="281"/>
      <c r="CI68" s="281"/>
      <c r="CJ68" s="281"/>
      <c r="CK68" s="281"/>
      <c r="CL68" s="281"/>
      <c r="CM68" s="250"/>
      <c r="CN68" s="250"/>
      <c r="CO68" s="250"/>
      <c r="CP68" s="250"/>
      <c r="CQ68" s="250"/>
      <c r="CR68" s="250"/>
      <c r="CS68" s="250"/>
      <c r="CT68" s="250"/>
      <c r="CU68" s="250"/>
      <c r="CV68" s="250"/>
      <c r="CW68" s="250"/>
      <c r="CX68" s="250"/>
      <c r="CY68" s="250"/>
      <c r="CZ68" s="250"/>
      <c r="DA68" s="281"/>
    </row>
    <row r="69" spans="1:105" s="276" customFormat="1" ht="15.5" hidden="1" x14ac:dyDescent="0.35">
      <c r="A69" s="260"/>
      <c r="B69" s="179"/>
      <c r="C69" s="179"/>
      <c r="D69" s="179"/>
      <c r="E69" s="179"/>
      <c r="F69" s="179"/>
      <c r="G69" s="179"/>
      <c r="H69" s="179"/>
      <c r="I69" s="285" t="s">
        <v>18</v>
      </c>
      <c r="J69" s="182"/>
      <c r="K69" s="285" t="s">
        <v>18</v>
      </c>
      <c r="L69" s="251"/>
      <c r="M69" s="464"/>
      <c r="N69" s="483"/>
      <c r="O69" s="499"/>
      <c r="P69" s="499"/>
      <c r="Q69" s="499"/>
      <c r="R69" s="499"/>
      <c r="S69" s="499"/>
      <c r="T69" s="499"/>
      <c r="U69" s="499"/>
      <c r="V69" s="499"/>
      <c r="W69" s="479"/>
      <c r="X69" s="479"/>
      <c r="Y69" s="479"/>
      <c r="Z69" s="479"/>
      <c r="AA69" s="479"/>
      <c r="AB69" s="177"/>
      <c r="AC69" s="177"/>
      <c r="AD69" s="177"/>
      <c r="AE69" s="760"/>
      <c r="AF69" s="760"/>
      <c r="AG69" s="760"/>
      <c r="AH69" s="760"/>
      <c r="AI69" s="760"/>
      <c r="AJ69" s="760"/>
      <c r="AK69" s="760"/>
      <c r="AL69" s="760"/>
      <c r="AM69" s="177"/>
      <c r="AN69" s="177"/>
      <c r="AO69" s="177"/>
      <c r="AP69" s="177"/>
      <c r="AQ69" s="177"/>
      <c r="AR69" s="177"/>
      <c r="AS69" s="177"/>
      <c r="AT69" s="177"/>
      <c r="AU69" s="177"/>
      <c r="AV69" s="177"/>
      <c r="AW69" s="177"/>
      <c r="AX69" s="177"/>
      <c r="AY69" s="177"/>
      <c r="AZ69" s="177"/>
      <c r="BA69" s="177"/>
      <c r="BB69" s="281"/>
      <c r="BC69" s="281"/>
      <c r="BD69" s="281"/>
      <c r="BE69" s="281"/>
      <c r="BF69" s="281"/>
      <c r="BG69" s="281"/>
      <c r="BH69" s="281"/>
      <c r="BI69" s="281"/>
      <c r="BJ69" s="281"/>
      <c r="BK69" s="281"/>
      <c r="BL69" s="281"/>
      <c r="BM69" s="281"/>
      <c r="BN69" s="250"/>
      <c r="BO69" s="250"/>
      <c r="BP69" s="250"/>
      <c r="BQ69" s="250"/>
      <c r="BR69" s="250"/>
      <c r="BS69" s="250"/>
      <c r="BT69" s="250"/>
      <c r="BU69" s="250"/>
      <c r="BV69" s="250"/>
      <c r="BW69" s="250"/>
      <c r="BX69" s="250"/>
      <c r="BY69" s="250"/>
      <c r="BZ69" s="250"/>
      <c r="CA69" s="250"/>
      <c r="CB69" s="250"/>
      <c r="CC69" s="250"/>
      <c r="CD69" s="250"/>
      <c r="CE69" s="250"/>
      <c r="CF69" s="250"/>
      <c r="CG69" s="250"/>
      <c r="CH69" s="281"/>
      <c r="CI69" s="281"/>
      <c r="CJ69" s="281"/>
      <c r="CK69" s="281"/>
      <c r="CL69" s="281"/>
      <c r="CM69" s="250"/>
      <c r="CN69" s="250"/>
      <c r="CO69" s="250"/>
      <c r="CP69" s="250"/>
      <c r="CQ69" s="250"/>
      <c r="CR69" s="250"/>
      <c r="CS69" s="250"/>
      <c r="CT69" s="250"/>
      <c r="CU69" s="250"/>
      <c r="CV69" s="250"/>
      <c r="CW69" s="250"/>
      <c r="CX69" s="250"/>
      <c r="CY69" s="250"/>
      <c r="CZ69" s="250"/>
      <c r="DA69" s="281"/>
    </row>
    <row r="70" spans="1:105" s="276" customFormat="1" ht="16" thickBot="1" x14ac:dyDescent="0.4">
      <c r="A70" s="260"/>
      <c r="B70" s="179"/>
      <c r="C70" s="179"/>
      <c r="D70" s="179"/>
      <c r="E70" s="179"/>
      <c r="F70" s="179"/>
      <c r="G70" s="179"/>
      <c r="H70" s="179"/>
      <c r="I70" s="285"/>
      <c r="J70" s="182"/>
      <c r="K70" s="285"/>
      <c r="L70" s="251"/>
      <c r="M70" s="464"/>
      <c r="N70" s="495"/>
      <c r="O70" s="486"/>
      <c r="P70" s="486"/>
      <c r="Q70" s="486"/>
      <c r="R70" s="486"/>
      <c r="S70" s="486"/>
      <c r="T70" s="486"/>
      <c r="U70" s="486"/>
      <c r="V70" s="486"/>
      <c r="W70" s="479"/>
      <c r="X70" s="479"/>
      <c r="Y70" s="479"/>
      <c r="Z70" s="479"/>
      <c r="AA70" s="479"/>
      <c r="AB70" s="177"/>
      <c r="AC70" s="177"/>
      <c r="AD70" s="177"/>
      <c r="AE70" s="760"/>
      <c r="AF70" s="760"/>
      <c r="AG70" s="760"/>
      <c r="AH70" s="760"/>
      <c r="AI70" s="760"/>
      <c r="AJ70" s="760"/>
      <c r="AK70" s="760"/>
      <c r="AL70" s="760"/>
      <c r="AM70" s="177"/>
      <c r="AN70" s="177"/>
      <c r="AO70" s="177"/>
      <c r="AP70" s="177"/>
      <c r="AQ70" s="177"/>
      <c r="AR70" s="177"/>
      <c r="AS70" s="177"/>
      <c r="AT70" s="177"/>
      <c r="AU70" s="177"/>
      <c r="AV70" s="177"/>
      <c r="AW70" s="177"/>
      <c r="AX70" s="177"/>
      <c r="AY70" s="177"/>
      <c r="AZ70" s="177"/>
      <c r="BA70" s="177"/>
      <c r="BB70" s="281"/>
      <c r="BC70" s="281"/>
      <c r="BD70" s="281"/>
      <c r="BE70" s="281"/>
      <c r="BF70" s="281"/>
      <c r="BG70" s="281"/>
      <c r="BH70" s="281"/>
      <c r="BI70" s="281"/>
      <c r="BJ70" s="281"/>
      <c r="BK70" s="281"/>
      <c r="BL70" s="281"/>
      <c r="BM70" s="281"/>
      <c r="BN70" s="250"/>
      <c r="BO70" s="250"/>
      <c r="BP70" s="250"/>
      <c r="BQ70" s="250"/>
      <c r="BR70" s="250"/>
      <c r="BS70" s="250"/>
      <c r="BT70" s="250"/>
      <c r="BU70" s="250"/>
      <c r="BV70" s="250"/>
      <c r="BW70" s="250"/>
      <c r="BX70" s="250"/>
      <c r="BY70" s="250"/>
      <c r="BZ70" s="250"/>
      <c r="CA70" s="250"/>
      <c r="CB70" s="250"/>
      <c r="CC70" s="250"/>
      <c r="CD70" s="250"/>
      <c r="CE70" s="250"/>
      <c r="CF70" s="250"/>
      <c r="CG70" s="250"/>
      <c r="CH70" s="281"/>
      <c r="CI70" s="281"/>
      <c r="CJ70" s="281"/>
      <c r="CK70" s="281"/>
      <c r="CL70" s="281"/>
      <c r="CM70" s="250"/>
      <c r="CN70" s="250"/>
      <c r="CO70" s="250"/>
      <c r="CP70" s="250"/>
      <c r="CQ70" s="250"/>
      <c r="CR70" s="250"/>
      <c r="CS70" s="250"/>
      <c r="CT70" s="250"/>
      <c r="CU70" s="250"/>
      <c r="CV70" s="250"/>
      <c r="CW70" s="250"/>
      <c r="CX70" s="250"/>
      <c r="CY70" s="250"/>
      <c r="CZ70" s="250"/>
      <c r="DA70" s="281"/>
    </row>
    <row r="71" spans="1:105" s="276" customFormat="1" ht="21.5" thickBot="1" x14ac:dyDescent="0.55000000000000004">
      <c r="A71" s="260" t="s">
        <v>31</v>
      </c>
      <c r="B71" s="179"/>
      <c r="C71" s="179"/>
      <c r="D71" s="179"/>
      <c r="E71" s="104">
        <f>IF(ISERROR(I68/12),0,I68/12)</f>
        <v>0</v>
      </c>
      <c r="F71" s="179"/>
      <c r="G71" s="179"/>
      <c r="H71" s="179"/>
      <c r="I71" s="179"/>
      <c r="J71" s="182" t="s">
        <v>11</v>
      </c>
      <c r="K71" s="104">
        <f>IF(ISERROR(K68/12),0,K68/12)</f>
        <v>0</v>
      </c>
      <c r="L71" s="251"/>
      <c r="M71" s="464"/>
      <c r="N71" s="486" t="s">
        <v>335</v>
      </c>
      <c r="O71" s="486"/>
      <c r="P71" s="486"/>
      <c r="Q71" s="486"/>
      <c r="R71" s="486"/>
      <c r="S71" s="486"/>
      <c r="T71" s="486"/>
      <c r="U71" s="486"/>
      <c r="V71" s="486"/>
      <c r="W71" s="479"/>
      <c r="X71" s="479"/>
      <c r="Y71" s="479"/>
      <c r="Z71" s="479"/>
      <c r="AA71" s="479"/>
      <c r="AB71" s="177"/>
      <c r="AC71" s="177"/>
      <c r="AD71" s="177"/>
      <c r="AE71" s="760"/>
      <c r="AF71" s="760"/>
      <c r="AG71" s="760"/>
      <c r="AH71" s="760"/>
      <c r="AI71" s="760"/>
      <c r="AJ71" s="760"/>
      <c r="AK71" s="760"/>
      <c r="AL71" s="760"/>
      <c r="AM71" s="177"/>
      <c r="AN71" s="177"/>
      <c r="AO71" s="177"/>
      <c r="AP71" s="177"/>
      <c r="AQ71" s="177"/>
      <c r="AR71" s="177"/>
      <c r="AS71" s="177"/>
      <c r="AT71" s="177"/>
      <c r="AU71" s="177"/>
      <c r="AV71" s="177"/>
      <c r="AW71" s="177"/>
      <c r="AX71" s="177"/>
      <c r="AY71" s="177"/>
      <c r="AZ71" s="177"/>
      <c r="BA71" s="177"/>
      <c r="BB71" s="281"/>
      <c r="BC71" s="281"/>
      <c r="BD71" s="281"/>
      <c r="BE71" s="281"/>
      <c r="BF71" s="281"/>
      <c r="BG71" s="281"/>
      <c r="BH71" s="281"/>
      <c r="BI71" s="281"/>
      <c r="BJ71" s="281"/>
      <c r="BK71" s="281"/>
      <c r="BL71" s="281"/>
      <c r="BM71" s="281"/>
      <c r="BN71" s="250"/>
      <c r="BO71" s="250"/>
      <c r="BP71" s="250"/>
      <c r="BQ71" s="250"/>
      <c r="BR71" s="250"/>
      <c r="BS71" s="250"/>
      <c r="BT71" s="250"/>
      <c r="BU71" s="250"/>
      <c r="BV71" s="250"/>
      <c r="BW71" s="250"/>
      <c r="BX71" s="250"/>
      <c r="BY71" s="250"/>
      <c r="BZ71" s="250"/>
      <c r="CA71" s="250"/>
      <c r="CB71" s="250"/>
      <c r="CC71" s="250"/>
      <c r="CD71" s="250"/>
      <c r="CE71" s="250"/>
      <c r="CF71" s="250"/>
      <c r="CG71" s="250"/>
      <c r="CH71" s="281"/>
      <c r="CI71" s="281"/>
      <c r="CJ71" s="281"/>
      <c r="CK71" s="281"/>
      <c r="CL71" s="281"/>
      <c r="CM71" s="250"/>
      <c r="CN71" s="250"/>
      <c r="CO71" s="250"/>
      <c r="CP71" s="250"/>
      <c r="CQ71" s="250"/>
      <c r="CR71" s="250"/>
      <c r="CS71" s="250"/>
      <c r="CT71" s="250"/>
      <c r="CU71" s="250"/>
      <c r="CV71" s="250"/>
      <c r="CW71" s="250"/>
      <c r="CX71" s="250"/>
      <c r="CY71" s="250"/>
      <c r="CZ71" s="250"/>
      <c r="DA71" s="281"/>
    </row>
    <row r="72" spans="1:105" s="276" customFormat="1" ht="16" thickBot="1" x14ac:dyDescent="0.4">
      <c r="A72" s="260"/>
      <c r="B72" s="179"/>
      <c r="C72" s="179"/>
      <c r="D72" s="179"/>
      <c r="E72" s="179"/>
      <c r="F72" s="179"/>
      <c r="G72" s="250"/>
      <c r="H72" s="179"/>
      <c r="I72" s="100"/>
      <c r="J72" s="182"/>
      <c r="K72" s="303"/>
      <c r="L72" s="251"/>
      <c r="M72" s="464"/>
      <c r="N72" s="500"/>
      <c r="O72" s="501"/>
      <c r="P72" s="501"/>
      <c r="Q72" s="501"/>
      <c r="R72" s="501"/>
      <c r="S72" s="501"/>
      <c r="T72" s="501"/>
      <c r="U72" s="501"/>
      <c r="V72" s="501"/>
      <c r="W72" s="502"/>
      <c r="X72" s="502"/>
      <c r="Y72" s="502"/>
      <c r="Z72" s="502"/>
      <c r="AA72" s="502"/>
      <c r="AB72" s="462"/>
      <c r="AC72" s="177"/>
      <c r="AD72" s="177"/>
      <c r="AE72" s="760"/>
      <c r="AF72" s="760"/>
      <c r="AG72" s="760"/>
      <c r="AH72" s="760"/>
      <c r="AI72" s="760"/>
      <c r="AJ72" s="760"/>
      <c r="AK72" s="760"/>
      <c r="AL72" s="760"/>
      <c r="AM72" s="177"/>
      <c r="AN72" s="177"/>
      <c r="AO72" s="177"/>
      <c r="AP72" s="177"/>
      <c r="AQ72" s="177"/>
      <c r="AR72" s="177"/>
      <c r="AS72" s="177"/>
      <c r="AT72" s="177"/>
      <c r="AU72" s="177"/>
      <c r="AV72" s="177"/>
      <c r="AW72" s="177"/>
      <c r="AX72" s="177"/>
      <c r="AY72" s="177"/>
      <c r="AZ72" s="177"/>
      <c r="BA72" s="177"/>
      <c r="BB72" s="281"/>
      <c r="BC72" s="281"/>
      <c r="BD72" s="281"/>
      <c r="BE72" s="281"/>
      <c r="BF72" s="281"/>
      <c r="BG72" s="281"/>
      <c r="BH72" s="281"/>
      <c r="BI72" s="281"/>
      <c r="BJ72" s="281"/>
      <c r="BK72" s="281"/>
      <c r="BL72" s="281"/>
      <c r="BM72" s="281"/>
      <c r="BN72" s="250"/>
      <c r="BO72" s="250"/>
      <c r="BP72" s="250"/>
      <c r="BQ72" s="250"/>
      <c r="BR72" s="250"/>
      <c r="BS72" s="250"/>
      <c r="BT72" s="250"/>
      <c r="BU72" s="250"/>
      <c r="BV72" s="250"/>
      <c r="BW72" s="250"/>
      <c r="BX72" s="250"/>
      <c r="BY72" s="250"/>
      <c r="BZ72" s="250"/>
      <c r="CA72" s="250"/>
      <c r="CB72" s="250"/>
      <c r="CC72" s="250"/>
      <c r="CD72" s="250"/>
      <c r="CE72" s="250"/>
      <c r="CF72" s="250"/>
      <c r="CG72" s="250"/>
      <c r="CH72" s="281"/>
      <c r="CI72" s="281"/>
      <c r="CJ72" s="281"/>
      <c r="CK72" s="281"/>
      <c r="CL72" s="281"/>
      <c r="CM72" s="250"/>
      <c r="CN72" s="250"/>
      <c r="CO72" s="250"/>
      <c r="CP72" s="250"/>
      <c r="CQ72" s="250"/>
      <c r="CR72" s="250"/>
      <c r="CS72" s="250"/>
      <c r="CT72" s="250"/>
      <c r="CU72" s="250"/>
      <c r="CV72" s="250"/>
      <c r="CW72" s="250"/>
      <c r="CX72" s="250"/>
      <c r="CY72" s="250"/>
      <c r="CZ72" s="250"/>
      <c r="DA72" s="281"/>
    </row>
    <row r="73" spans="1:105" s="276" customFormat="1" ht="21.75" customHeight="1" thickBot="1" x14ac:dyDescent="0.55000000000000004">
      <c r="A73" s="304"/>
      <c r="B73" s="305"/>
      <c r="C73" s="305"/>
      <c r="D73" s="305"/>
      <c r="E73" s="305"/>
      <c r="F73" s="305"/>
      <c r="G73" s="305"/>
      <c r="H73" s="953" t="s">
        <v>29</v>
      </c>
      <c r="I73" s="953"/>
      <c r="J73" s="301" t="s">
        <v>13</v>
      </c>
      <c r="K73" s="104">
        <f>E71+K71</f>
        <v>0</v>
      </c>
      <c r="L73" s="251"/>
      <c r="M73" s="464"/>
      <c r="N73" s="940" t="s">
        <v>339</v>
      </c>
      <c r="O73" s="950" t="s">
        <v>338</v>
      </c>
      <c r="P73" s="943" t="s">
        <v>576</v>
      </c>
      <c r="Q73" s="173"/>
      <c r="R73" s="173"/>
      <c r="S73" s="173"/>
      <c r="T73" s="173"/>
      <c r="U73" s="173"/>
      <c r="V73" s="173"/>
      <c r="W73" s="173"/>
      <c r="X73" s="173"/>
      <c r="Y73" s="173"/>
      <c r="Z73" s="173"/>
      <c r="AA73" s="173"/>
      <c r="AB73" s="462"/>
      <c r="AC73" s="177"/>
      <c r="AD73" s="177"/>
      <c r="AE73" s="760"/>
      <c r="AF73" s="760"/>
      <c r="AG73" s="760"/>
      <c r="AH73" s="760"/>
      <c r="AI73" s="760"/>
      <c r="AJ73" s="760"/>
      <c r="AK73" s="760"/>
      <c r="AL73" s="760"/>
      <c r="AM73" s="177"/>
      <c r="AN73" s="177"/>
      <c r="AO73" s="177"/>
      <c r="AP73" s="177"/>
      <c r="AQ73" s="177"/>
      <c r="AR73" s="177"/>
      <c r="AS73" s="177"/>
      <c r="AT73" s="177"/>
      <c r="AU73" s="177"/>
      <c r="AV73" s="177"/>
      <c r="AW73" s="177"/>
      <c r="AX73" s="177"/>
      <c r="AY73" s="177"/>
      <c r="AZ73" s="177"/>
      <c r="BA73" s="177"/>
      <c r="BB73" s="281"/>
      <c r="BC73" s="281"/>
      <c r="BD73" s="281"/>
      <c r="BE73" s="281"/>
      <c r="BF73" s="281"/>
      <c r="BG73" s="281"/>
      <c r="BH73" s="281"/>
      <c r="BI73" s="281"/>
      <c r="BJ73" s="281"/>
      <c r="BK73" s="281"/>
      <c r="BL73" s="281"/>
      <c r="BM73" s="281"/>
      <c r="BN73" s="250"/>
      <c r="BO73" s="250"/>
      <c r="BP73" s="250"/>
      <c r="BQ73" s="250"/>
      <c r="BR73" s="250"/>
      <c r="BS73" s="250"/>
      <c r="BT73" s="250"/>
      <c r="BU73" s="250"/>
      <c r="BV73" s="250"/>
      <c r="BW73" s="250"/>
      <c r="BX73" s="250"/>
      <c r="BY73" s="250"/>
      <c r="BZ73" s="250"/>
      <c r="CA73" s="250"/>
      <c r="CB73" s="250"/>
      <c r="CC73" s="250"/>
      <c r="CD73" s="250"/>
      <c r="CE73" s="250"/>
      <c r="CF73" s="250"/>
      <c r="CG73" s="250"/>
      <c r="CH73" s="281"/>
      <c r="CI73" s="281"/>
      <c r="CJ73" s="281"/>
      <c r="CK73" s="281"/>
      <c r="CL73" s="281"/>
      <c r="CM73" s="250"/>
      <c r="CN73" s="250"/>
      <c r="CO73" s="250"/>
      <c r="CP73" s="250"/>
      <c r="CQ73" s="250"/>
      <c r="CR73" s="250"/>
      <c r="CS73" s="250"/>
      <c r="CT73" s="250"/>
      <c r="CU73" s="250"/>
      <c r="CV73" s="250"/>
      <c r="CW73" s="250"/>
      <c r="CX73" s="250"/>
      <c r="CY73" s="250"/>
      <c r="CZ73" s="250"/>
      <c r="DA73" s="281"/>
    </row>
    <row r="74" spans="1:105" s="276" customFormat="1" ht="27.75" hidden="1" customHeight="1" thickBot="1" x14ac:dyDescent="0.4">
      <c r="A74" s="260" t="s">
        <v>19</v>
      </c>
      <c r="B74" s="179"/>
      <c r="C74" s="179"/>
      <c r="D74" s="179"/>
      <c r="E74" s="179"/>
      <c r="F74" s="179"/>
      <c r="G74" s="179"/>
      <c r="H74" s="179"/>
      <c r="I74" s="179"/>
      <c r="J74" s="301"/>
      <c r="K74" s="105" t="b">
        <f>IF(E63+K63&gt;124999,50%,IF(E63+K63&gt;74999,47.5%,IF(E63+K63&gt;59999,42.5%,IF(E63+K63&gt;34999,40%,IF(E63+K63&gt;0,35%)))))</f>
        <v>0</v>
      </c>
      <c r="L74" s="251"/>
      <c r="M74" s="464"/>
      <c r="N74" s="941"/>
      <c r="O74" s="951"/>
      <c r="P74" s="944"/>
      <c r="Q74" s="173"/>
      <c r="R74" s="173"/>
      <c r="S74" s="173"/>
      <c r="T74" s="173"/>
      <c r="U74" s="173"/>
      <c r="V74" s="173"/>
      <c r="W74" s="173"/>
      <c r="X74" s="173"/>
      <c r="Y74" s="173"/>
      <c r="Z74" s="173"/>
      <c r="AA74" s="173"/>
      <c r="AB74" s="462"/>
      <c r="AC74" s="177"/>
      <c r="AD74" s="177"/>
      <c r="AE74" s="760"/>
      <c r="AF74" s="760"/>
      <c r="AG74" s="760"/>
      <c r="AH74" s="760"/>
      <c r="AI74" s="760"/>
      <c r="AJ74" s="760"/>
      <c r="AK74" s="760"/>
      <c r="AL74" s="760"/>
      <c r="AM74" s="177"/>
      <c r="AN74" s="177"/>
      <c r="AO74" s="177"/>
      <c r="AP74" s="177"/>
      <c r="AQ74" s="177"/>
      <c r="AR74" s="177"/>
      <c r="AS74" s="177"/>
      <c r="AT74" s="177"/>
      <c r="AU74" s="177"/>
      <c r="AV74" s="177"/>
      <c r="AW74" s="177"/>
      <c r="AX74" s="177"/>
      <c r="AY74" s="177"/>
      <c r="AZ74" s="177"/>
      <c r="BA74" s="177"/>
      <c r="BB74" s="281"/>
      <c r="BC74" s="281"/>
      <c r="BD74" s="281"/>
      <c r="BE74" s="281"/>
      <c r="BF74" s="281"/>
      <c r="BG74" s="281"/>
      <c r="BH74" s="281"/>
      <c r="BI74" s="281"/>
      <c r="BJ74" s="281"/>
      <c r="BK74" s="281"/>
      <c r="BL74" s="281"/>
      <c r="BM74" s="281"/>
      <c r="BN74" s="250"/>
      <c r="BO74" s="250"/>
      <c r="BP74" s="250"/>
      <c r="BQ74" s="250"/>
      <c r="BR74" s="250"/>
      <c r="BS74" s="250"/>
      <c r="BT74" s="250"/>
      <c r="BU74" s="250"/>
      <c r="BV74" s="250"/>
      <c r="BW74" s="250"/>
      <c r="BX74" s="250"/>
      <c r="BY74" s="250"/>
      <c r="BZ74" s="250"/>
      <c r="CA74" s="250"/>
      <c r="CB74" s="250"/>
      <c r="CC74" s="250"/>
      <c r="CD74" s="250"/>
      <c r="CE74" s="250"/>
      <c r="CF74" s="250"/>
      <c r="CG74" s="250"/>
      <c r="CH74" s="281"/>
      <c r="CI74" s="281"/>
      <c r="CJ74" s="281"/>
      <c r="CK74" s="281"/>
      <c r="CL74" s="281"/>
      <c r="CM74" s="250"/>
      <c r="CN74" s="250"/>
      <c r="CO74" s="250"/>
      <c r="CP74" s="250"/>
      <c r="CQ74" s="250"/>
      <c r="CR74" s="250"/>
      <c r="CS74" s="250"/>
      <c r="CT74" s="250"/>
      <c r="CU74" s="250"/>
      <c r="CV74" s="250"/>
      <c r="CW74" s="250"/>
      <c r="CX74" s="250"/>
      <c r="CY74" s="250"/>
      <c r="CZ74" s="250"/>
      <c r="DA74" s="281"/>
    </row>
    <row r="75" spans="1:105" ht="15.75" customHeight="1" thickBot="1" x14ac:dyDescent="0.4">
      <c r="A75" s="306"/>
      <c r="B75" s="288"/>
      <c r="C75" s="288"/>
      <c r="D75" s="288"/>
      <c r="E75" s="288"/>
      <c r="F75" s="288"/>
      <c r="G75" s="288"/>
      <c r="H75" s="288"/>
      <c r="I75" s="288"/>
      <c r="J75" s="307"/>
      <c r="K75" s="857">
        <f>K73*200%</f>
        <v>0</v>
      </c>
      <c r="L75" s="251"/>
      <c r="M75" s="464"/>
      <c r="N75" s="941"/>
      <c r="O75" s="951"/>
      <c r="P75" s="944"/>
      <c r="Q75" s="173"/>
      <c r="R75" s="173"/>
      <c r="S75" s="173"/>
      <c r="T75" s="173"/>
      <c r="U75" s="173"/>
      <c r="V75" s="173"/>
      <c r="W75" s="173"/>
      <c r="X75" s="173"/>
      <c r="Y75" s="173"/>
      <c r="Z75" s="173"/>
      <c r="AA75" s="173"/>
      <c r="AB75" s="462"/>
    </row>
    <row r="76" spans="1:105" ht="25.5" customHeight="1" thickBot="1" x14ac:dyDescent="0.55000000000000004">
      <c r="A76" s="308"/>
      <c r="B76" s="309"/>
      <c r="C76" s="309"/>
      <c r="D76" s="309"/>
      <c r="E76" s="954" t="s">
        <v>114</v>
      </c>
      <c r="F76" s="955"/>
      <c r="G76" s="955"/>
      <c r="H76" s="955"/>
      <c r="I76" s="956"/>
      <c r="J76" s="310"/>
      <c r="K76" s="104">
        <f>K73*K74</f>
        <v>0</v>
      </c>
      <c r="L76" s="251"/>
      <c r="M76" s="464"/>
      <c r="N76" s="941"/>
      <c r="O76" s="951"/>
      <c r="P76" s="944"/>
      <c r="Q76" s="500"/>
      <c r="R76" s="500"/>
      <c r="S76" s="500"/>
      <c r="T76" s="500"/>
      <c r="U76" s="500"/>
      <c r="V76" s="500"/>
      <c r="W76" s="502"/>
      <c r="X76" s="502"/>
      <c r="Y76" s="502"/>
      <c r="Z76" s="502"/>
      <c r="AA76" s="502"/>
      <c r="AB76" s="462"/>
    </row>
    <row r="77" spans="1:105" ht="15" hidden="1" customHeight="1" thickBot="1" x14ac:dyDescent="0.4">
      <c r="A77" s="311"/>
      <c r="B77" s="312"/>
      <c r="C77" s="312"/>
      <c r="D77" s="312"/>
      <c r="E77" s="312"/>
      <c r="F77" s="312"/>
      <c r="G77" s="312"/>
      <c r="H77" s="312"/>
      <c r="I77" s="312"/>
      <c r="J77" s="313"/>
      <c r="K77" s="106"/>
      <c r="L77" s="275"/>
      <c r="M77" s="464"/>
      <c r="N77" s="941"/>
      <c r="O77" s="951"/>
      <c r="P77" s="944"/>
      <c r="Q77" s="500"/>
      <c r="R77" s="500"/>
      <c r="S77" s="500"/>
      <c r="T77" s="500"/>
      <c r="U77" s="500"/>
      <c r="V77" s="500"/>
      <c r="W77" s="502"/>
      <c r="X77" s="502"/>
      <c r="Y77" s="502"/>
      <c r="Z77" s="502"/>
      <c r="AA77" s="502"/>
      <c r="AB77" s="462"/>
    </row>
    <row r="78" spans="1:105" ht="15.5" hidden="1" x14ac:dyDescent="0.35">
      <c r="A78" s="314"/>
      <c r="B78" s="315"/>
      <c r="C78" s="315"/>
      <c r="D78" s="315"/>
      <c r="E78" s="315"/>
      <c r="F78" s="315"/>
      <c r="G78" s="315"/>
      <c r="H78" s="315"/>
      <c r="I78" s="315"/>
      <c r="J78" s="315"/>
      <c r="K78" s="315"/>
      <c r="L78" s="316"/>
      <c r="M78" s="464"/>
      <c r="N78" s="941"/>
      <c r="O78" s="951"/>
      <c r="P78" s="944"/>
      <c r="Q78" s="500"/>
      <c r="R78" s="500"/>
      <c r="S78" s="500"/>
      <c r="T78" s="500"/>
      <c r="U78" s="500"/>
      <c r="V78" s="500"/>
      <c r="W78" s="502"/>
      <c r="X78" s="502"/>
      <c r="Y78" s="502"/>
      <c r="Z78" s="502"/>
      <c r="AA78" s="502"/>
      <c r="AB78" s="462"/>
    </row>
    <row r="79" spans="1:105" ht="9.75" customHeight="1" x14ac:dyDescent="0.35">
      <c r="A79" s="314"/>
      <c r="B79" s="315"/>
      <c r="C79" s="315"/>
      <c r="D79" s="315"/>
      <c r="E79" s="315"/>
      <c r="F79" s="315"/>
      <c r="G79" s="315"/>
      <c r="H79" s="315"/>
      <c r="I79" s="315"/>
      <c r="J79" s="315"/>
      <c r="K79" s="315"/>
      <c r="L79" s="316"/>
      <c r="M79" s="464"/>
      <c r="N79" s="941"/>
      <c r="O79" s="951"/>
      <c r="P79" s="944"/>
      <c r="Q79" s="502"/>
      <c r="R79" s="502"/>
      <c r="S79" s="502"/>
      <c r="T79" s="502"/>
      <c r="U79" s="502"/>
      <c r="V79" s="502"/>
      <c r="W79" s="502"/>
      <c r="X79" s="502"/>
      <c r="Y79" s="502"/>
      <c r="Z79" s="502"/>
      <c r="AA79" s="502"/>
      <c r="AB79" s="462"/>
    </row>
    <row r="80" spans="1:105" ht="21" x14ac:dyDescent="0.35">
      <c r="A80" s="957" t="s">
        <v>493</v>
      </c>
      <c r="B80" s="958"/>
      <c r="C80" s="958"/>
      <c r="D80" s="958"/>
      <c r="E80" s="958"/>
      <c r="F80" s="958"/>
      <c r="G80" s="958"/>
      <c r="H80" s="958"/>
      <c r="I80" s="958"/>
      <c r="J80" s="958"/>
      <c r="K80" s="958"/>
      <c r="L80" s="959"/>
      <c r="M80" s="464"/>
      <c r="N80" s="942"/>
      <c r="O80" s="952"/>
      <c r="P80" s="945"/>
      <c r="Q80" s="502"/>
      <c r="R80" s="502"/>
      <c r="S80" s="502"/>
      <c r="T80" s="502"/>
      <c r="U80" s="502"/>
      <c r="V80" s="502"/>
      <c r="W80" s="502"/>
      <c r="X80" s="502"/>
      <c r="Y80" s="502"/>
      <c r="Z80" s="502"/>
      <c r="AA80" s="502"/>
      <c r="AB80" s="462"/>
    </row>
    <row r="81" spans="1:104" ht="7.5" hidden="1" customHeight="1" x14ac:dyDescent="0.35">
      <c r="A81" s="317"/>
      <c r="B81" s="318"/>
      <c r="C81" s="318"/>
      <c r="D81" s="318"/>
      <c r="E81" s="318"/>
      <c r="F81" s="318"/>
      <c r="G81" s="318"/>
      <c r="H81" s="318"/>
      <c r="I81" s="318"/>
      <c r="J81" s="318"/>
      <c r="K81" s="318"/>
      <c r="L81" s="319"/>
      <c r="M81" s="464"/>
      <c r="N81" s="505"/>
      <c r="O81" s="503"/>
      <c r="P81" s="502"/>
      <c r="Q81" s="502"/>
      <c r="R81" s="502"/>
      <c r="S81" s="502"/>
      <c r="T81" s="502"/>
      <c r="U81" s="502"/>
      <c r="V81" s="502"/>
      <c r="W81" s="502"/>
      <c r="X81" s="502"/>
      <c r="Y81" s="502"/>
      <c r="Z81" s="502"/>
      <c r="AA81" s="502"/>
      <c r="AB81" s="462"/>
    </row>
    <row r="82" spans="1:104" ht="21.75" customHeight="1" thickBot="1" x14ac:dyDescent="0.55000000000000004">
      <c r="A82" s="606" t="s">
        <v>103</v>
      </c>
      <c r="B82" s="179"/>
      <c r="C82" s="179"/>
      <c r="D82" s="179"/>
      <c r="E82" s="179"/>
      <c r="F82" s="179"/>
      <c r="G82" s="179"/>
      <c r="H82" s="179"/>
      <c r="I82" s="179"/>
      <c r="J82" s="182"/>
      <c r="K82" s="991"/>
      <c r="L82" s="183"/>
      <c r="M82" s="464"/>
      <c r="N82" s="946" t="s">
        <v>341</v>
      </c>
      <c r="O82" s="503" t="s">
        <v>500</v>
      </c>
      <c r="P82" s="502"/>
      <c r="Q82" s="502"/>
      <c r="R82" s="502"/>
      <c r="S82" s="502"/>
      <c r="T82" s="502"/>
      <c r="U82" s="502"/>
      <c r="V82" s="502"/>
      <c r="W82" s="502"/>
      <c r="X82" s="502"/>
      <c r="Y82" s="502"/>
      <c r="Z82" s="502"/>
      <c r="AA82" s="502"/>
      <c r="AB82" s="462"/>
    </row>
    <row r="83" spans="1:104" ht="21.75" customHeight="1" thickBot="1" x14ac:dyDescent="0.55000000000000004">
      <c r="A83" s="930" t="s">
        <v>622</v>
      </c>
      <c r="B83" s="920"/>
      <c r="C83" s="181">
        <v>1</v>
      </c>
      <c r="D83" s="181"/>
      <c r="E83" s="927"/>
      <c r="F83" s="928"/>
      <c r="G83" s="928"/>
      <c r="H83" s="929"/>
      <c r="I83" s="320"/>
      <c r="J83" s="182"/>
      <c r="K83" s="991"/>
      <c r="L83" s="183"/>
      <c r="M83" s="464"/>
      <c r="N83" s="947"/>
      <c r="O83" s="473" t="s">
        <v>503</v>
      </c>
      <c r="P83" s="502"/>
      <c r="Q83" s="502"/>
      <c r="R83" s="502"/>
      <c r="S83" s="502"/>
      <c r="T83" s="502"/>
      <c r="U83" s="502"/>
      <c r="V83" s="502"/>
      <c r="W83" s="502"/>
      <c r="X83" s="502"/>
      <c r="Y83" s="502"/>
      <c r="Z83" s="502"/>
      <c r="AA83" s="502"/>
      <c r="AB83" s="461"/>
      <c r="AC83" s="176"/>
      <c r="AD83" s="176"/>
    </row>
    <row r="84" spans="1:104" ht="13.5" customHeight="1" thickBot="1" x14ac:dyDescent="0.4">
      <c r="A84" s="964"/>
      <c r="B84" s="920"/>
      <c r="C84" s="179"/>
      <c r="D84" s="179"/>
      <c r="E84" s="608"/>
      <c r="F84" s="609"/>
      <c r="G84" s="610"/>
      <c r="H84" s="609"/>
      <c r="I84" s="294"/>
      <c r="J84" s="294"/>
      <c r="K84" s="250"/>
      <c r="L84" s="251"/>
      <c r="M84" s="464"/>
      <c r="N84" s="947"/>
      <c r="O84" s="502" t="s">
        <v>501</v>
      </c>
      <c r="P84" s="502"/>
      <c r="Q84" s="502"/>
      <c r="R84" s="502"/>
      <c r="S84" s="502"/>
      <c r="T84" s="502"/>
      <c r="U84" s="502"/>
      <c r="V84" s="502"/>
      <c r="W84" s="502"/>
      <c r="X84" s="502"/>
      <c r="Y84" s="502"/>
      <c r="Z84" s="502"/>
      <c r="AA84" s="502"/>
      <c r="AB84" s="461"/>
      <c r="AC84" s="176"/>
      <c r="AD84" s="176"/>
    </row>
    <row r="85" spans="1:104" ht="21.75" customHeight="1" thickBot="1" x14ac:dyDescent="0.55000000000000004">
      <c r="A85" s="964"/>
      <c r="B85" s="920"/>
      <c r="C85" s="181">
        <v>2</v>
      </c>
      <c r="D85" s="181"/>
      <c r="E85" s="927"/>
      <c r="F85" s="928"/>
      <c r="G85" s="928"/>
      <c r="H85" s="929"/>
      <c r="I85" s="320"/>
      <c r="J85" s="182"/>
      <c r="K85" s="179"/>
      <c r="L85" s="183"/>
      <c r="M85" s="464"/>
      <c r="N85" s="947"/>
      <c r="O85" s="507" t="s">
        <v>502</v>
      </c>
      <c r="P85" s="502"/>
      <c r="Q85" s="502"/>
      <c r="R85" s="502"/>
      <c r="S85" s="502"/>
      <c r="T85" s="502"/>
      <c r="U85" s="502"/>
      <c r="V85" s="502"/>
      <c r="W85" s="502"/>
      <c r="X85" s="502"/>
      <c r="Y85" s="502"/>
      <c r="Z85" s="502"/>
      <c r="AA85" s="502"/>
      <c r="AB85" s="462"/>
    </row>
    <row r="86" spans="1:104" ht="16" thickBot="1" x14ac:dyDescent="0.4">
      <c r="C86" s="179"/>
      <c r="D86" s="179"/>
      <c r="E86" s="608"/>
      <c r="F86" s="609"/>
      <c r="G86" s="610"/>
      <c r="H86" s="609"/>
      <c r="I86" s="294"/>
      <c r="J86" s="294"/>
      <c r="K86" s="250"/>
      <c r="L86" s="251"/>
      <c r="M86" s="464"/>
      <c r="N86" s="948"/>
      <c r="O86" s="508" t="s">
        <v>504</v>
      </c>
      <c r="P86" s="502"/>
      <c r="Q86" s="502"/>
      <c r="R86" s="502"/>
      <c r="S86" s="502"/>
      <c r="T86" s="502"/>
      <c r="U86" s="502"/>
      <c r="V86" s="502"/>
      <c r="W86" s="502"/>
      <c r="X86" s="502"/>
      <c r="Y86" s="502"/>
      <c r="Z86" s="502"/>
      <c r="AA86" s="502"/>
      <c r="AB86" s="461"/>
      <c r="AC86" s="176"/>
      <c r="AD86" s="176"/>
    </row>
    <row r="87" spans="1:104" s="178" customFormat="1" ht="21.5" thickBot="1" x14ac:dyDescent="0.55000000000000004">
      <c r="A87" s="919" t="s">
        <v>621</v>
      </c>
      <c r="B87" s="920"/>
      <c r="C87" s="181"/>
      <c r="D87" s="181"/>
      <c r="E87" s="927"/>
      <c r="F87" s="928"/>
      <c r="G87" s="928"/>
      <c r="H87" s="929"/>
      <c r="I87" s="320"/>
      <c r="J87" s="182"/>
      <c r="K87" s="104">
        <f>SUM(I82:I87)</f>
        <v>0</v>
      </c>
      <c r="L87" s="183"/>
      <c r="M87" s="463"/>
      <c r="N87" s="504"/>
      <c r="P87" s="502"/>
      <c r="Q87" s="502"/>
      <c r="R87" s="502"/>
      <c r="S87" s="502"/>
      <c r="T87" s="502"/>
      <c r="U87" s="502"/>
      <c r="V87" s="502"/>
      <c r="W87" s="506"/>
      <c r="X87" s="506"/>
      <c r="Y87" s="506"/>
      <c r="Z87" s="506"/>
      <c r="AA87" s="506"/>
      <c r="AB87" s="462"/>
      <c r="AC87" s="177"/>
      <c r="AD87" s="177"/>
      <c r="AE87" s="754"/>
      <c r="AF87" s="754"/>
      <c r="AG87" s="754"/>
      <c r="AH87" s="754"/>
      <c r="AI87" s="754"/>
      <c r="AJ87" s="754"/>
      <c r="AK87" s="754"/>
      <c r="AL87" s="754"/>
      <c r="AM87" s="176"/>
      <c r="AN87" s="176"/>
      <c r="AO87" s="176"/>
      <c r="AP87" s="176"/>
      <c r="AQ87" s="176"/>
      <c r="AR87" s="176"/>
      <c r="AS87" s="176"/>
      <c r="AT87" s="176"/>
      <c r="AU87" s="176"/>
      <c r="AV87" s="176"/>
      <c r="AW87" s="177"/>
      <c r="AX87" s="176"/>
      <c r="AY87" s="176"/>
      <c r="AZ87" s="176"/>
      <c r="BA87" s="176"/>
      <c r="BN87" s="179"/>
      <c r="BO87" s="179"/>
      <c r="BP87" s="179"/>
      <c r="BQ87" s="179"/>
      <c r="BR87" s="179"/>
      <c r="BS87" s="179"/>
      <c r="BT87" s="179"/>
      <c r="BU87" s="179"/>
      <c r="BV87" s="179"/>
      <c r="BW87" s="179"/>
      <c r="BX87" s="179"/>
      <c r="BY87" s="179"/>
      <c r="BZ87" s="179"/>
      <c r="CA87" s="179"/>
      <c r="CB87" s="179"/>
      <c r="CC87" s="179"/>
      <c r="CD87" s="179"/>
      <c r="CE87" s="179"/>
      <c r="CF87" s="179"/>
      <c r="CG87" s="179"/>
      <c r="CM87" s="179"/>
      <c r="CN87" s="179"/>
      <c r="CO87" s="179"/>
      <c r="CP87" s="179"/>
      <c r="CQ87" s="179"/>
      <c r="CR87" s="179"/>
      <c r="CS87" s="179"/>
      <c r="CT87" s="179"/>
      <c r="CU87" s="179"/>
      <c r="CV87" s="179"/>
      <c r="CW87" s="179"/>
      <c r="CX87" s="179"/>
      <c r="CY87" s="179"/>
      <c r="CZ87" s="179"/>
    </row>
    <row r="88" spans="1:104" s="178" customFormat="1" ht="12.75" hidden="1" customHeight="1" x14ac:dyDescent="0.35">
      <c r="A88" s="260"/>
      <c r="B88" s="179"/>
      <c r="C88" s="179"/>
      <c r="D88" s="179"/>
      <c r="E88" s="610"/>
      <c r="F88" s="610"/>
      <c r="G88" s="611"/>
      <c r="H88" s="610"/>
      <c r="I88" s="182"/>
      <c r="J88" s="301"/>
      <c r="K88" s="250"/>
      <c r="L88" s="183"/>
      <c r="M88" s="463"/>
      <c r="N88" s="509"/>
      <c r="O88" s="508"/>
      <c r="P88" s="502"/>
      <c r="Q88" s="502"/>
      <c r="R88" s="502"/>
      <c r="S88" s="502"/>
      <c r="T88" s="502"/>
      <c r="U88" s="502"/>
      <c r="V88" s="502"/>
      <c r="W88" s="506"/>
      <c r="X88" s="506"/>
      <c r="Y88" s="506"/>
      <c r="Z88" s="506"/>
      <c r="AA88" s="506"/>
      <c r="AB88" s="461"/>
      <c r="AC88" s="176"/>
      <c r="AD88" s="176"/>
      <c r="AE88" s="754"/>
      <c r="AF88" s="754"/>
      <c r="AG88" s="754"/>
      <c r="AH88" s="754"/>
      <c r="AI88" s="754"/>
      <c r="AJ88" s="754"/>
      <c r="AK88" s="754"/>
      <c r="AL88" s="754"/>
      <c r="AM88" s="176"/>
      <c r="AN88" s="176"/>
      <c r="AO88" s="176"/>
      <c r="AP88" s="176"/>
      <c r="AQ88" s="176"/>
      <c r="AR88" s="176"/>
      <c r="AS88" s="176"/>
      <c r="AT88" s="176"/>
      <c r="AU88" s="176"/>
      <c r="AV88" s="176"/>
      <c r="AW88" s="176"/>
      <c r="AX88" s="176"/>
      <c r="AY88" s="176"/>
      <c r="AZ88" s="176"/>
      <c r="BA88" s="176"/>
      <c r="BN88" s="179"/>
      <c r="BO88" s="179"/>
      <c r="BP88" s="179"/>
      <c r="BQ88" s="179"/>
      <c r="BR88" s="179"/>
      <c r="BS88" s="179"/>
      <c r="BT88" s="179"/>
      <c r="BU88" s="179"/>
      <c r="BV88" s="179"/>
      <c r="BW88" s="179"/>
      <c r="BX88" s="179"/>
      <c r="BY88" s="179"/>
      <c r="BZ88" s="179"/>
      <c r="CA88" s="179"/>
      <c r="CB88" s="179"/>
      <c r="CC88" s="179"/>
      <c r="CD88" s="179"/>
      <c r="CE88" s="179"/>
      <c r="CF88" s="179"/>
      <c r="CG88" s="179"/>
      <c r="CM88" s="179"/>
      <c r="CN88" s="179"/>
      <c r="CO88" s="179"/>
      <c r="CP88" s="179"/>
      <c r="CQ88" s="179"/>
      <c r="CR88" s="179"/>
      <c r="CS88" s="179"/>
      <c r="CT88" s="179"/>
      <c r="CU88" s="179"/>
      <c r="CV88" s="179"/>
      <c r="CW88" s="179"/>
      <c r="CX88" s="179"/>
      <c r="CY88" s="179"/>
      <c r="CZ88" s="179"/>
    </row>
    <row r="89" spans="1:104" ht="33" customHeight="1" thickBot="1" x14ac:dyDescent="0.55000000000000004">
      <c r="A89" s="186" t="s">
        <v>33</v>
      </c>
      <c r="B89" s="179"/>
      <c r="C89" s="179"/>
      <c r="D89" s="179"/>
      <c r="E89" s="610"/>
      <c r="F89" s="610"/>
      <c r="G89" s="610"/>
      <c r="H89" s="610"/>
      <c r="I89" s="182"/>
      <c r="J89" s="182"/>
      <c r="K89" s="179"/>
      <c r="L89" s="183"/>
      <c r="M89" s="464"/>
      <c r="N89" s="510" t="s">
        <v>344</v>
      </c>
      <c r="O89" s="508">
        <f>COUNTIF(C9:H9,"&gt;=0")</f>
        <v>0</v>
      </c>
      <c r="P89" s="997" t="s">
        <v>346</v>
      </c>
      <c r="Q89" s="998"/>
      <c r="R89" s="998"/>
      <c r="S89" s="998"/>
      <c r="T89" s="998"/>
      <c r="U89" s="998"/>
      <c r="V89" s="998"/>
      <c r="W89" s="998"/>
      <c r="X89" s="998"/>
      <c r="Y89" s="998"/>
      <c r="Z89" s="998"/>
      <c r="AA89" s="998"/>
      <c r="AB89" s="461"/>
      <c r="AC89" s="176"/>
      <c r="AD89" s="176"/>
      <c r="AW89" s="176"/>
    </row>
    <row r="90" spans="1:104" s="178" customFormat="1" ht="21.75" customHeight="1" thickBot="1" x14ac:dyDescent="0.55000000000000004">
      <c r="A90" s="930" t="s">
        <v>143</v>
      </c>
      <c r="B90" s="931"/>
      <c r="C90" s="181">
        <v>1</v>
      </c>
      <c r="D90" s="181"/>
      <c r="E90" s="927"/>
      <c r="F90" s="928"/>
      <c r="G90" s="928"/>
      <c r="H90" s="929"/>
      <c r="I90" s="320"/>
      <c r="J90" s="182"/>
      <c r="K90" s="179"/>
      <c r="L90" s="183"/>
      <c r="M90" s="463"/>
      <c r="N90" s="510" t="s">
        <v>345</v>
      </c>
      <c r="O90" s="508" t="str">
        <f>IF(S1="Single",1,IF(S1="Joint",2,""))</f>
        <v/>
      </c>
      <c r="P90" s="506"/>
      <c r="Q90" s="506"/>
      <c r="R90" s="506"/>
      <c r="S90" s="506"/>
      <c r="T90" s="506"/>
      <c r="U90" s="506"/>
      <c r="V90" s="506"/>
      <c r="W90" s="506"/>
      <c r="X90" s="506"/>
      <c r="Y90" s="506"/>
      <c r="Z90" s="506"/>
      <c r="AA90" s="506"/>
      <c r="AB90" s="461"/>
      <c r="AC90" s="176"/>
      <c r="AD90" s="176"/>
      <c r="AE90" s="754"/>
      <c r="AF90" s="754"/>
      <c r="AG90" s="754"/>
      <c r="AH90" s="754"/>
      <c r="AI90" s="754"/>
      <c r="AJ90" s="754"/>
      <c r="AK90" s="754"/>
      <c r="AL90" s="754"/>
      <c r="AM90" s="176"/>
      <c r="AN90" s="176"/>
      <c r="AO90" s="176"/>
      <c r="AP90" s="176"/>
      <c r="AQ90" s="176"/>
      <c r="AR90" s="176"/>
      <c r="AS90" s="176"/>
      <c r="AT90" s="176"/>
      <c r="AU90" s="176"/>
      <c r="AV90" s="176"/>
      <c r="AW90" s="177"/>
      <c r="AX90" s="176"/>
      <c r="AY90" s="176"/>
      <c r="AZ90" s="176"/>
      <c r="BA90" s="176"/>
      <c r="BN90" s="179"/>
      <c r="BO90" s="179"/>
      <c r="BP90" s="179"/>
      <c r="BQ90" s="179"/>
      <c r="BR90" s="179"/>
      <c r="BS90" s="179"/>
      <c r="BT90" s="179"/>
      <c r="BU90" s="179"/>
      <c r="BV90" s="179"/>
      <c r="BW90" s="179"/>
      <c r="BX90" s="179"/>
      <c r="BY90" s="179"/>
      <c r="BZ90" s="179"/>
      <c r="CA90" s="179"/>
      <c r="CB90" s="179"/>
      <c r="CC90" s="179"/>
      <c r="CD90" s="179"/>
      <c r="CE90" s="179"/>
      <c r="CF90" s="179"/>
      <c r="CG90" s="179"/>
      <c r="CM90" s="179"/>
      <c r="CN90" s="179"/>
      <c r="CO90" s="179"/>
      <c r="CP90" s="179"/>
      <c r="CQ90" s="179"/>
      <c r="CR90" s="179"/>
      <c r="CS90" s="179"/>
      <c r="CT90" s="179"/>
      <c r="CU90" s="179"/>
      <c r="CV90" s="179"/>
      <c r="CW90" s="179"/>
      <c r="CX90" s="179"/>
      <c r="CY90" s="179"/>
      <c r="CZ90" s="179"/>
    </row>
    <row r="91" spans="1:104" ht="13.5" customHeight="1" thickBot="1" x14ac:dyDescent="0.4">
      <c r="A91" s="930"/>
      <c r="B91" s="931"/>
      <c r="C91" s="179"/>
      <c r="D91" s="179"/>
      <c r="E91" s="608"/>
      <c r="F91" s="609"/>
      <c r="G91" s="610"/>
      <c r="H91" s="609"/>
      <c r="I91" s="294"/>
      <c r="J91" s="294"/>
      <c r="K91" s="250"/>
      <c r="L91" s="251"/>
      <c r="M91" s="464"/>
      <c r="N91" s="510" t="s">
        <v>254</v>
      </c>
      <c r="O91" s="508">
        <f>SUM(O89:O90)</f>
        <v>0</v>
      </c>
      <c r="P91" s="506"/>
      <c r="Q91" s="506"/>
      <c r="R91" s="506"/>
      <c r="S91" s="506"/>
      <c r="T91" s="506"/>
      <c r="U91" s="506"/>
      <c r="V91" s="506"/>
      <c r="W91" s="502"/>
      <c r="X91" s="502"/>
      <c r="Y91" s="502"/>
      <c r="Z91" s="502"/>
      <c r="AA91" s="502"/>
      <c r="AB91" s="461"/>
      <c r="AC91" s="176"/>
      <c r="AD91" s="176"/>
      <c r="AW91" s="176"/>
    </row>
    <row r="92" spans="1:104" s="178" customFormat="1" ht="21.5" thickBot="1" x14ac:dyDescent="0.55000000000000004">
      <c r="A92" s="930"/>
      <c r="B92" s="931"/>
      <c r="C92" s="181">
        <v>2</v>
      </c>
      <c r="D92" s="181"/>
      <c r="E92" s="927"/>
      <c r="F92" s="928"/>
      <c r="G92" s="928"/>
      <c r="H92" s="929"/>
      <c r="I92" s="320"/>
      <c r="J92" s="182"/>
      <c r="K92" s="179"/>
      <c r="L92" s="183"/>
      <c r="M92" s="463"/>
      <c r="N92" s="510"/>
      <c r="O92" s="508"/>
      <c r="P92" s="502"/>
      <c r="Q92" s="502"/>
      <c r="R92" s="502"/>
      <c r="S92" s="502"/>
      <c r="T92" s="502"/>
      <c r="U92" s="502"/>
      <c r="V92" s="502"/>
      <c r="W92" s="506"/>
      <c r="X92" s="506"/>
      <c r="Y92" s="506"/>
      <c r="Z92" s="506"/>
      <c r="AA92" s="506"/>
      <c r="AB92" s="462"/>
      <c r="AC92" s="177"/>
      <c r="AD92" s="177"/>
      <c r="AE92" s="754"/>
      <c r="AF92" s="754"/>
      <c r="AG92" s="754"/>
      <c r="AH92" s="754"/>
      <c r="AI92" s="754"/>
      <c r="AJ92" s="754"/>
      <c r="AK92" s="754"/>
      <c r="AL92" s="754"/>
      <c r="AM92" s="176"/>
      <c r="AN92" s="176"/>
      <c r="AO92" s="176"/>
      <c r="AP92" s="176"/>
      <c r="AQ92" s="176"/>
      <c r="AR92" s="176"/>
      <c r="AS92" s="176"/>
      <c r="AT92" s="176"/>
      <c r="AU92" s="176"/>
      <c r="AV92" s="176"/>
      <c r="AW92" s="176"/>
      <c r="AX92" s="176"/>
      <c r="AY92" s="176"/>
      <c r="AZ92" s="176"/>
      <c r="BA92" s="176"/>
      <c r="BN92" s="179"/>
      <c r="BO92" s="179"/>
      <c r="BP92" s="179"/>
      <c r="BQ92" s="179"/>
      <c r="BR92" s="179"/>
      <c r="BS92" s="179"/>
      <c r="BT92" s="179"/>
      <c r="BU92" s="179"/>
      <c r="BV92" s="179"/>
      <c r="BW92" s="179"/>
      <c r="BX92" s="179"/>
      <c r="BY92" s="179"/>
      <c r="BZ92" s="179"/>
      <c r="CA92" s="179"/>
      <c r="CB92" s="179"/>
      <c r="CC92" s="179"/>
      <c r="CD92" s="179"/>
      <c r="CE92" s="179"/>
      <c r="CF92" s="179"/>
      <c r="CG92" s="179"/>
      <c r="CM92" s="179"/>
      <c r="CN92" s="179"/>
      <c r="CO92" s="179"/>
      <c r="CP92" s="179"/>
      <c r="CQ92" s="179"/>
      <c r="CR92" s="179"/>
      <c r="CS92" s="179"/>
      <c r="CT92" s="179"/>
      <c r="CU92" s="179"/>
      <c r="CV92" s="179"/>
      <c r="CW92" s="179"/>
      <c r="CX92" s="179"/>
      <c r="CY92" s="179"/>
      <c r="CZ92" s="179"/>
    </row>
    <row r="93" spans="1:104" s="178" customFormat="1" ht="16" thickBot="1" x14ac:dyDescent="0.4">
      <c r="A93" s="930"/>
      <c r="B93" s="931"/>
      <c r="C93" s="179"/>
      <c r="D93" s="179"/>
      <c r="E93" s="608"/>
      <c r="F93" s="609"/>
      <c r="G93" s="610"/>
      <c r="H93" s="609"/>
      <c r="I93" s="294"/>
      <c r="J93" s="294"/>
      <c r="K93" s="250"/>
      <c r="L93" s="251"/>
      <c r="M93" s="463"/>
      <c r="O93" s="506"/>
      <c r="P93" s="506"/>
      <c r="Q93" s="506"/>
      <c r="R93" s="506"/>
      <c r="S93" s="506"/>
      <c r="T93" s="506"/>
      <c r="U93" s="506"/>
      <c r="V93" s="506"/>
      <c r="W93" s="506"/>
      <c r="X93" s="506"/>
      <c r="Y93" s="506"/>
      <c r="Z93" s="506"/>
      <c r="AA93" s="506"/>
      <c r="AB93" s="461"/>
      <c r="AC93" s="176"/>
      <c r="AD93" s="176"/>
      <c r="AE93" s="754"/>
      <c r="AF93" s="754"/>
      <c r="AG93" s="754"/>
      <c r="AH93" s="754"/>
      <c r="AI93" s="754"/>
      <c r="AJ93" s="754"/>
      <c r="AK93" s="754"/>
      <c r="AL93" s="754"/>
      <c r="AM93" s="176"/>
      <c r="AN93" s="176"/>
      <c r="AO93" s="176"/>
      <c r="AP93" s="176"/>
      <c r="AQ93" s="176"/>
      <c r="AR93" s="176"/>
      <c r="AS93" s="176"/>
      <c r="AT93" s="176"/>
      <c r="AU93" s="176"/>
      <c r="AV93" s="176"/>
      <c r="AW93" s="176"/>
      <c r="AX93" s="176"/>
      <c r="AY93" s="176"/>
      <c r="AZ93" s="176"/>
      <c r="BA93" s="176"/>
      <c r="BN93" s="179"/>
      <c r="BO93" s="179"/>
      <c r="BP93" s="179"/>
      <c r="BQ93" s="179"/>
      <c r="BR93" s="179"/>
      <c r="BS93" s="179"/>
      <c r="BT93" s="179"/>
      <c r="BU93" s="179"/>
      <c r="BV93" s="179"/>
      <c r="BW93" s="179"/>
      <c r="BX93" s="179"/>
      <c r="BY93" s="179"/>
      <c r="BZ93" s="179"/>
      <c r="CA93" s="179"/>
      <c r="CB93" s="179"/>
      <c r="CC93" s="179"/>
      <c r="CD93" s="179"/>
      <c r="CE93" s="179"/>
      <c r="CF93" s="179"/>
      <c r="CG93" s="179"/>
      <c r="CM93" s="179"/>
      <c r="CN93" s="179"/>
      <c r="CO93" s="179"/>
      <c r="CP93" s="179"/>
      <c r="CQ93" s="179"/>
      <c r="CR93" s="179"/>
      <c r="CS93" s="179"/>
      <c r="CT93" s="179"/>
      <c r="CU93" s="179"/>
      <c r="CV93" s="179"/>
      <c r="CW93" s="179"/>
      <c r="CX93" s="179"/>
      <c r="CY93" s="179"/>
      <c r="CZ93" s="179"/>
    </row>
    <row r="94" spans="1:104" s="178" customFormat="1" ht="21.75" customHeight="1" thickBot="1" x14ac:dyDescent="0.55000000000000004">
      <c r="A94" s="930"/>
      <c r="B94" s="931"/>
      <c r="C94" s="181">
        <v>3</v>
      </c>
      <c r="D94" s="181"/>
      <c r="E94" s="927"/>
      <c r="F94" s="928"/>
      <c r="G94" s="928"/>
      <c r="H94" s="929"/>
      <c r="I94" s="320"/>
      <c r="J94" s="182"/>
      <c r="K94" s="104">
        <f>SUM(I90:I94)*0.025</f>
        <v>0</v>
      </c>
      <c r="L94" s="183"/>
      <c r="M94" s="463"/>
      <c r="O94" s="502"/>
      <c r="P94" s="502"/>
      <c r="Q94" s="502"/>
      <c r="R94" s="502"/>
      <c r="S94" s="502"/>
      <c r="T94" s="502"/>
      <c r="U94" s="502"/>
      <c r="V94" s="502"/>
      <c r="W94" s="506"/>
      <c r="X94" s="506"/>
      <c r="Y94" s="506"/>
      <c r="Z94" s="506"/>
      <c r="AA94" s="506"/>
      <c r="AB94" s="462"/>
      <c r="AC94" s="177"/>
      <c r="AD94" s="177"/>
      <c r="AE94" s="754"/>
      <c r="AF94" s="754"/>
      <c r="AG94" s="754"/>
      <c r="AH94" s="754"/>
      <c r="AI94" s="754"/>
      <c r="AJ94" s="754"/>
      <c r="AK94" s="754"/>
      <c r="AL94" s="754"/>
      <c r="AM94" s="176"/>
      <c r="AN94" s="176"/>
      <c r="AO94" s="176"/>
      <c r="AP94" s="176"/>
      <c r="AQ94" s="176"/>
      <c r="AR94" s="176"/>
      <c r="AS94" s="176"/>
      <c r="AT94" s="176"/>
      <c r="AU94" s="176"/>
      <c r="AV94" s="176"/>
      <c r="AW94" s="176"/>
      <c r="AX94" s="176"/>
      <c r="AY94" s="176"/>
      <c r="AZ94" s="176"/>
      <c r="BA94" s="176"/>
      <c r="BN94" s="179"/>
      <c r="BO94" s="179"/>
      <c r="BP94" s="179"/>
      <c r="BQ94" s="179"/>
      <c r="BR94" s="179"/>
      <c r="BS94" s="179"/>
      <c r="BT94" s="179"/>
      <c r="BU94" s="179"/>
      <c r="BV94" s="179"/>
      <c r="BW94" s="179"/>
      <c r="BX94" s="179"/>
      <c r="BY94" s="179"/>
      <c r="BZ94" s="179"/>
      <c r="CA94" s="179"/>
      <c r="CB94" s="179"/>
      <c r="CC94" s="179"/>
      <c r="CD94" s="179"/>
      <c r="CE94" s="179"/>
      <c r="CF94" s="179"/>
      <c r="CG94" s="179"/>
      <c r="CM94" s="179"/>
      <c r="CN94" s="179"/>
      <c r="CO94" s="179"/>
      <c r="CP94" s="179"/>
      <c r="CQ94" s="179"/>
      <c r="CR94" s="179"/>
      <c r="CS94" s="179"/>
      <c r="CT94" s="179"/>
      <c r="CU94" s="179"/>
      <c r="CV94" s="179"/>
      <c r="CW94" s="179"/>
      <c r="CX94" s="179"/>
      <c r="CY94" s="179"/>
      <c r="CZ94" s="179"/>
    </row>
    <row r="95" spans="1:104" s="178" customFormat="1" ht="15.5" hidden="1" x14ac:dyDescent="0.35">
      <c r="A95" s="260"/>
      <c r="B95" s="179"/>
      <c r="C95" s="179"/>
      <c r="D95" s="179"/>
      <c r="E95" s="179"/>
      <c r="F95" s="179"/>
      <c r="G95" s="100"/>
      <c r="H95" s="179"/>
      <c r="I95" s="179"/>
      <c r="J95" s="301"/>
      <c r="K95" s="250"/>
      <c r="L95" s="183"/>
      <c r="M95" s="463"/>
      <c r="O95" s="506"/>
      <c r="P95" s="506"/>
      <c r="Q95" s="506"/>
      <c r="R95" s="506"/>
      <c r="S95" s="506"/>
      <c r="T95" s="506"/>
      <c r="U95" s="506"/>
      <c r="V95" s="506"/>
      <c r="W95" s="506"/>
      <c r="X95" s="506"/>
      <c r="Y95" s="506"/>
      <c r="Z95" s="506"/>
      <c r="AA95" s="506"/>
      <c r="AB95" s="461"/>
      <c r="AC95" s="176"/>
      <c r="AD95" s="176"/>
      <c r="AE95" s="754"/>
      <c r="AF95" s="754"/>
      <c r="AG95" s="754"/>
      <c r="AH95" s="754"/>
      <c r="AI95" s="754"/>
      <c r="AJ95" s="754"/>
      <c r="AK95" s="754"/>
      <c r="AL95" s="754"/>
      <c r="AM95" s="176"/>
      <c r="AN95" s="176"/>
      <c r="AO95" s="176"/>
      <c r="AP95" s="176"/>
      <c r="AQ95" s="176"/>
      <c r="AR95" s="176"/>
      <c r="AS95" s="176"/>
      <c r="AT95" s="176"/>
      <c r="AU95" s="176"/>
      <c r="AV95" s="176"/>
      <c r="AW95" s="176"/>
      <c r="AX95" s="176"/>
      <c r="AY95" s="176"/>
      <c r="AZ95" s="176"/>
      <c r="BA95" s="176"/>
      <c r="BN95" s="179"/>
      <c r="BO95" s="179"/>
      <c r="BP95" s="179"/>
      <c r="BQ95" s="179"/>
      <c r="BR95" s="179"/>
      <c r="BS95" s="179"/>
      <c r="BT95" s="179"/>
      <c r="BU95" s="179"/>
      <c r="BV95" s="179"/>
      <c r="BW95" s="179"/>
      <c r="BX95" s="179"/>
      <c r="BY95" s="179"/>
      <c r="BZ95" s="179"/>
      <c r="CA95" s="179"/>
      <c r="CB95" s="179"/>
      <c r="CC95" s="179"/>
      <c r="CD95" s="179"/>
      <c r="CE95" s="179"/>
      <c r="CF95" s="179"/>
      <c r="CG95" s="179"/>
      <c r="CM95" s="179"/>
      <c r="CN95" s="179"/>
      <c r="CO95" s="179"/>
      <c r="CP95" s="179"/>
      <c r="CQ95" s="179"/>
      <c r="CR95" s="179"/>
      <c r="CS95" s="179"/>
      <c r="CT95" s="179"/>
      <c r="CU95" s="179"/>
      <c r="CV95" s="179"/>
      <c r="CW95" s="179"/>
      <c r="CX95" s="179"/>
      <c r="CY95" s="179"/>
      <c r="CZ95" s="179"/>
    </row>
    <row r="96" spans="1:104" ht="21.5" thickBot="1" x14ac:dyDescent="0.55000000000000004">
      <c r="A96" s="186" t="s">
        <v>97</v>
      </c>
      <c r="B96" s="179"/>
      <c r="C96" s="179"/>
      <c r="D96" s="179"/>
      <c r="E96" s="179"/>
      <c r="F96" s="179"/>
      <c r="G96" s="179"/>
      <c r="H96" s="179"/>
      <c r="I96" s="179"/>
      <c r="J96" s="182"/>
      <c r="K96" s="326"/>
      <c r="L96" s="183"/>
      <c r="M96" s="464"/>
      <c r="O96" s="885">
        <v>0</v>
      </c>
      <c r="P96" s="506"/>
      <c r="Q96" s="506"/>
      <c r="R96" s="506"/>
      <c r="S96" s="506"/>
      <c r="T96" s="506"/>
      <c r="U96" s="506"/>
      <c r="V96" s="506"/>
      <c r="W96" s="502"/>
      <c r="X96" s="502"/>
      <c r="Y96" s="502"/>
      <c r="Z96" s="502"/>
      <c r="AA96" s="502"/>
      <c r="AB96" s="462"/>
      <c r="AW96" s="176"/>
    </row>
    <row r="97" spans="1:104" s="178" customFormat="1" ht="21.5" thickBot="1" x14ac:dyDescent="0.55000000000000004">
      <c r="A97" s="321" t="s">
        <v>197</v>
      </c>
      <c r="B97" s="322"/>
      <c r="C97" s="294"/>
      <c r="D97" s="294"/>
      <c r="E97" s="932" t="s">
        <v>95</v>
      </c>
      <c r="F97" s="932"/>
      <c r="G97" s="932"/>
      <c r="H97" s="933"/>
      <c r="I97" s="323"/>
      <c r="J97" s="182"/>
      <c r="K97" s="858"/>
      <c r="L97" s="183"/>
      <c r="M97" s="463"/>
      <c r="O97" s="885">
        <v>0.1</v>
      </c>
      <c r="P97" s="506"/>
      <c r="Q97" s="506"/>
      <c r="R97" s="506"/>
      <c r="S97" s="506"/>
      <c r="T97" s="506"/>
      <c r="U97" s="506"/>
      <c r="V97" s="506"/>
      <c r="W97" s="506"/>
      <c r="X97" s="506"/>
      <c r="Y97" s="506"/>
      <c r="Z97" s="506"/>
      <c r="AA97" s="506"/>
      <c r="AB97" s="462"/>
      <c r="AC97" s="177"/>
      <c r="AD97" s="177"/>
      <c r="AE97" s="754"/>
      <c r="AF97" s="754"/>
      <c r="AG97" s="754"/>
      <c r="AH97" s="754"/>
      <c r="AI97" s="754"/>
      <c r="AJ97" s="754"/>
      <c r="AK97" s="754"/>
      <c r="AL97" s="754"/>
      <c r="AM97" s="176"/>
      <c r="AN97" s="176"/>
      <c r="AO97" s="176"/>
      <c r="AP97" s="176"/>
      <c r="AQ97" s="176"/>
      <c r="AR97" s="176"/>
      <c r="AS97" s="176"/>
      <c r="AT97" s="176"/>
      <c r="AU97" s="176"/>
      <c r="AV97" s="176"/>
      <c r="AW97" s="176"/>
      <c r="AX97" s="176"/>
      <c r="AY97" s="176"/>
      <c r="AZ97" s="176"/>
      <c r="BA97" s="176"/>
      <c r="BN97" s="179"/>
      <c r="BO97" s="179"/>
      <c r="BP97" s="179"/>
      <c r="BQ97" s="179"/>
      <c r="BR97" s="179"/>
      <c r="BS97" s="179"/>
      <c r="BT97" s="179"/>
      <c r="BU97" s="179"/>
      <c r="BV97" s="179"/>
      <c r="BW97" s="179"/>
      <c r="BX97" s="179"/>
      <c r="BY97" s="179"/>
      <c r="BZ97" s="179"/>
      <c r="CA97" s="179"/>
      <c r="CB97" s="179"/>
      <c r="CC97" s="179"/>
      <c r="CD97" s="179"/>
      <c r="CE97" s="179"/>
      <c r="CF97" s="179"/>
      <c r="CG97" s="179"/>
      <c r="CM97" s="179"/>
      <c r="CN97" s="179"/>
      <c r="CO97" s="179"/>
      <c r="CP97" s="179"/>
      <c r="CQ97" s="179"/>
      <c r="CR97" s="179"/>
      <c r="CS97" s="179"/>
      <c r="CT97" s="179"/>
      <c r="CU97" s="179"/>
      <c r="CV97" s="179"/>
      <c r="CW97" s="179"/>
      <c r="CX97" s="179"/>
      <c r="CY97" s="179"/>
      <c r="CZ97" s="179"/>
    </row>
    <row r="98" spans="1:104" ht="19" thickBot="1" x14ac:dyDescent="0.5">
      <c r="A98" s="306"/>
      <c r="B98" s="324"/>
      <c r="C98" s="324"/>
      <c r="D98" s="324"/>
      <c r="E98" s="325"/>
      <c r="F98" s="326"/>
      <c r="G98" s="586"/>
      <c r="H98" s="326"/>
      <c r="I98" s="327"/>
      <c r="J98" s="294"/>
      <c r="K98" s="859"/>
      <c r="L98" s="329"/>
      <c r="M98" s="464"/>
      <c r="O98" s="886">
        <v>0.2</v>
      </c>
      <c r="P98" s="506"/>
      <c r="Q98" s="506"/>
      <c r="R98" s="506"/>
      <c r="S98" s="506"/>
      <c r="T98" s="506"/>
      <c r="U98" s="506"/>
      <c r="V98" s="506"/>
      <c r="W98" s="502"/>
      <c r="X98" s="502"/>
      <c r="Y98" s="502"/>
      <c r="Z98" s="502"/>
      <c r="AA98" s="502"/>
      <c r="AB98" s="462"/>
      <c r="AW98" s="176"/>
    </row>
    <row r="99" spans="1:104" s="178" customFormat="1" ht="21.5" thickBot="1" x14ac:dyDescent="0.5">
      <c r="A99" s="260"/>
      <c r="B99" s="322"/>
      <c r="C99" s="294"/>
      <c r="D99" s="294"/>
      <c r="E99" s="932" t="s">
        <v>30</v>
      </c>
      <c r="F99" s="932"/>
      <c r="G99" s="932"/>
      <c r="H99" s="933"/>
      <c r="I99" s="330"/>
      <c r="J99" s="270" t="s">
        <v>25</v>
      </c>
      <c r="K99" s="331"/>
      <c r="L99" s="183"/>
      <c r="M99" s="463"/>
      <c r="P99" s="502"/>
      <c r="Q99" s="502"/>
      <c r="R99" s="502"/>
      <c r="S99" s="502"/>
      <c r="T99" s="502"/>
      <c r="U99" s="502"/>
      <c r="V99" s="502"/>
      <c r="W99" s="506"/>
      <c r="X99" s="506"/>
      <c r="Y99" s="506"/>
      <c r="Z99" s="506"/>
      <c r="AA99" s="506"/>
      <c r="AB99" s="461"/>
      <c r="AC99" s="176"/>
      <c r="AD99" s="176"/>
      <c r="AE99" s="754"/>
      <c r="AF99" s="754"/>
      <c r="AG99" s="754"/>
      <c r="AH99" s="754"/>
      <c r="AI99" s="754"/>
      <c r="AJ99" s="754"/>
      <c r="AK99" s="754"/>
      <c r="AL99" s="754"/>
      <c r="AM99" s="176"/>
      <c r="AN99" s="176"/>
      <c r="AO99" s="176"/>
      <c r="AP99" s="176"/>
      <c r="AQ99" s="176"/>
      <c r="AR99" s="176"/>
      <c r="AS99" s="176"/>
      <c r="AT99" s="176"/>
      <c r="AU99" s="176"/>
      <c r="AV99" s="176"/>
      <c r="AW99" s="177"/>
      <c r="AX99" s="176"/>
      <c r="AY99" s="176"/>
      <c r="AZ99" s="176"/>
      <c r="BA99" s="176"/>
      <c r="BN99" s="179"/>
      <c r="BO99" s="179"/>
      <c r="BP99" s="179"/>
      <c r="BQ99" s="179"/>
      <c r="BR99" s="179"/>
      <c r="BS99" s="179"/>
      <c r="BT99" s="179"/>
      <c r="BU99" s="179"/>
      <c r="BV99" s="179"/>
      <c r="BW99" s="179"/>
      <c r="BX99" s="179"/>
      <c r="BY99" s="179"/>
      <c r="BZ99" s="179"/>
      <c r="CA99" s="179"/>
      <c r="CB99" s="179"/>
      <c r="CC99" s="179"/>
      <c r="CD99" s="179"/>
      <c r="CE99" s="179"/>
      <c r="CF99" s="179"/>
      <c r="CG99" s="179"/>
      <c r="CM99" s="179"/>
      <c r="CN99" s="179"/>
      <c r="CO99" s="179"/>
      <c r="CP99" s="179"/>
      <c r="CQ99" s="179"/>
      <c r="CR99" s="179"/>
      <c r="CS99" s="179"/>
      <c r="CT99" s="179"/>
      <c r="CU99" s="179"/>
      <c r="CV99" s="179"/>
      <c r="CW99" s="179"/>
      <c r="CX99" s="179"/>
      <c r="CY99" s="179"/>
      <c r="CZ99" s="179"/>
    </row>
    <row r="100" spans="1:104" ht="19" thickBot="1" x14ac:dyDescent="0.5">
      <c r="A100" s="306"/>
      <c r="B100" s="324"/>
      <c r="C100" s="324"/>
      <c r="D100" s="324"/>
      <c r="E100" s="325"/>
      <c r="F100" s="326"/>
      <c r="G100" s="586"/>
      <c r="H100" s="326"/>
      <c r="I100" s="327"/>
      <c r="J100" s="294"/>
      <c r="K100" s="328"/>
      <c r="L100" s="329"/>
      <c r="M100" s="464"/>
      <c r="N100" s="511"/>
      <c r="O100" s="506"/>
      <c r="P100" s="506"/>
      <c r="Q100" s="506"/>
      <c r="R100" s="506"/>
      <c r="S100" s="506"/>
      <c r="T100" s="506"/>
      <c r="U100" s="506"/>
      <c r="V100" s="506"/>
      <c r="W100" s="502"/>
      <c r="X100" s="502"/>
      <c r="Y100" s="502"/>
      <c r="Z100" s="502"/>
      <c r="AA100" s="502"/>
      <c r="AB100" s="462"/>
      <c r="AW100" s="176"/>
    </row>
    <row r="101" spans="1:104" ht="21.5" thickBot="1" x14ac:dyDescent="0.55000000000000004">
      <c r="A101" s="260"/>
      <c r="B101" s="322"/>
      <c r="C101" s="294"/>
      <c r="D101" s="294"/>
      <c r="E101" s="932" t="s">
        <v>96</v>
      </c>
      <c r="F101" s="932"/>
      <c r="G101" s="932"/>
      <c r="H101" s="933"/>
      <c r="I101" s="332"/>
      <c r="J101" s="333"/>
      <c r="K101" s="107">
        <f>IF(ISERROR(IF(-PMT((I101+2%)/12,I99*12,I97,0,0)=0,0,-PMT((I101+2%)/12,I99*12,I97,0,0))),0,IF(-PMT((I101+2%)/12,I99*12,I97,0,0)=0,0,-PMT((I101+2%)/12,I99*12,I97,0,0)))</f>
        <v>0</v>
      </c>
      <c r="L101" s="183"/>
      <c r="M101" s="464"/>
      <c r="N101" s="511"/>
      <c r="O101" s="502"/>
      <c r="P101" s="502"/>
      <c r="Q101" s="502"/>
      <c r="R101" s="502"/>
      <c r="S101" s="502"/>
      <c r="T101" s="502"/>
      <c r="U101" s="502"/>
      <c r="V101" s="502"/>
      <c r="W101" s="502"/>
      <c r="X101" s="502"/>
      <c r="Y101" s="502"/>
      <c r="Z101" s="502"/>
      <c r="AA101" s="502"/>
      <c r="AB101" s="461"/>
      <c r="AC101" s="176"/>
      <c r="AD101" s="176"/>
      <c r="AW101" s="176"/>
    </row>
    <row r="102" spans="1:104" ht="18.5" x14ac:dyDescent="0.45">
      <c r="A102" s="306"/>
      <c r="B102" s="324"/>
      <c r="C102" s="324"/>
      <c r="D102" s="324"/>
      <c r="E102" s="325"/>
      <c r="F102" s="326"/>
      <c r="G102" s="586"/>
      <c r="H102" s="326"/>
      <c r="I102" s="327"/>
      <c r="J102" s="294"/>
      <c r="K102" s="328"/>
      <c r="L102" s="329"/>
      <c r="M102" s="464"/>
      <c r="N102" s="511"/>
      <c r="O102" s="506"/>
      <c r="P102" s="506"/>
      <c r="Q102" s="506"/>
      <c r="R102" s="506"/>
      <c r="S102" s="506"/>
      <c r="T102" s="506"/>
      <c r="U102" s="506"/>
      <c r="V102" s="506"/>
      <c r="W102" s="502"/>
      <c r="X102" s="502"/>
      <c r="Y102" s="502"/>
      <c r="Z102" s="502"/>
      <c r="AA102" s="502"/>
      <c r="AB102" s="461"/>
      <c r="AC102" s="176"/>
      <c r="AD102" s="176"/>
      <c r="AW102" s="176"/>
    </row>
    <row r="103" spans="1:104" ht="29.25" customHeight="1" x14ac:dyDescent="0.5">
      <c r="A103" s="306"/>
      <c r="B103" s="324"/>
      <c r="C103" s="324"/>
      <c r="D103" s="324"/>
      <c r="E103" s="992" t="s">
        <v>351</v>
      </c>
      <c r="F103" s="993"/>
      <c r="G103" s="993"/>
      <c r="H103" s="993"/>
      <c r="I103" s="594" t="e">
        <f>-PMT(AE1/12,E30*12,K34)*K36</f>
        <v>#DIV/0!</v>
      </c>
      <c r="J103" s="294"/>
      <c r="K103" s="595" t="e">
        <f>I103</f>
        <v>#DIV/0!</v>
      </c>
      <c r="L103" s="329"/>
      <c r="M103" s="464"/>
      <c r="N103" s="511"/>
      <c r="O103" s="506"/>
      <c r="P103" s="506"/>
      <c r="Q103" s="506"/>
      <c r="R103" s="506"/>
      <c r="S103" s="506"/>
      <c r="T103" s="506"/>
      <c r="U103" s="506"/>
      <c r="V103" s="506"/>
      <c r="W103" s="502"/>
      <c r="X103" s="502"/>
      <c r="Y103" s="502"/>
      <c r="Z103" s="502"/>
      <c r="AA103" s="502"/>
      <c r="AB103" s="461"/>
      <c r="AC103" s="176"/>
      <c r="AD103" s="176"/>
      <c r="AW103" s="176"/>
    </row>
    <row r="104" spans="1:104" s="178" customFormat="1" ht="16.5" customHeight="1" thickBot="1" x14ac:dyDescent="0.5">
      <c r="A104" s="249"/>
      <c r="B104" s="294"/>
      <c r="C104" s="294"/>
      <c r="D104" s="294"/>
      <c r="E104" s="334"/>
      <c r="F104" s="326"/>
      <c r="G104" s="326"/>
      <c r="H104" s="326"/>
      <c r="I104" s="250"/>
      <c r="J104" s="250"/>
      <c r="K104" s="250"/>
      <c r="L104" s="251"/>
      <c r="M104" s="463"/>
      <c r="N104" s="511"/>
      <c r="O104" s="502"/>
      <c r="P104" s="502"/>
      <c r="Q104" s="502"/>
      <c r="R104" s="502"/>
      <c r="S104" s="502"/>
      <c r="T104" s="502"/>
      <c r="U104" s="502"/>
      <c r="V104" s="502"/>
      <c r="W104" s="506"/>
      <c r="X104" s="506"/>
      <c r="Y104" s="506"/>
      <c r="Z104" s="506"/>
      <c r="AA104" s="506"/>
      <c r="AB104" s="461"/>
      <c r="AC104" s="176"/>
      <c r="AD104" s="176"/>
      <c r="AE104" s="754"/>
      <c r="AF104" s="754"/>
      <c r="AG104" s="754"/>
      <c r="AH104" s="754"/>
      <c r="AI104" s="754"/>
      <c r="AJ104" s="754"/>
      <c r="AK104" s="754"/>
      <c r="AL104" s="754"/>
      <c r="AM104" s="176"/>
      <c r="AN104" s="176"/>
      <c r="AO104" s="176"/>
      <c r="AP104" s="176"/>
      <c r="AQ104" s="176"/>
      <c r="AR104" s="176"/>
      <c r="AS104" s="176"/>
      <c r="AT104" s="176"/>
      <c r="AU104" s="176"/>
      <c r="AV104" s="176"/>
      <c r="AW104" s="177"/>
      <c r="AX104" s="176"/>
      <c r="AY104" s="176"/>
      <c r="AZ104" s="176"/>
      <c r="BA104" s="176"/>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M104" s="179"/>
      <c r="CN104" s="179"/>
      <c r="CO104" s="179"/>
      <c r="CP104" s="179"/>
      <c r="CQ104" s="179"/>
      <c r="CR104" s="179"/>
      <c r="CS104" s="179"/>
      <c r="CT104" s="179"/>
      <c r="CU104" s="179"/>
      <c r="CV104" s="179"/>
      <c r="CW104" s="179"/>
      <c r="CX104" s="179"/>
      <c r="CY104" s="179"/>
      <c r="CZ104" s="179"/>
    </row>
    <row r="105" spans="1:104" ht="21.5" thickBot="1" x14ac:dyDescent="0.55000000000000004">
      <c r="A105" s="249"/>
      <c r="B105" s="322"/>
      <c r="C105" s="294"/>
      <c r="D105" s="294"/>
      <c r="E105" s="335" t="s">
        <v>149</v>
      </c>
      <c r="F105" s="326"/>
      <c r="G105" s="326"/>
      <c r="H105" s="336"/>
      <c r="I105" s="108">
        <f>IF(ISERROR('BTL Template'!C43),0,'BTL Template'!C43)</f>
        <v>0</v>
      </c>
      <c r="J105" s="250"/>
      <c r="K105" s="884">
        <f>I105*-1</f>
        <v>0</v>
      </c>
      <c r="L105" s="251"/>
      <c r="M105" s="464"/>
      <c r="N105" s="511"/>
      <c r="O105" s="502"/>
      <c r="P105" s="502"/>
      <c r="Q105" s="502"/>
      <c r="R105" s="502"/>
      <c r="S105" s="502"/>
      <c r="T105" s="502"/>
      <c r="U105" s="502"/>
      <c r="V105" s="502"/>
      <c r="W105" s="502"/>
      <c r="X105" s="502"/>
      <c r="Y105" s="502"/>
      <c r="Z105" s="502"/>
      <c r="AA105" s="502"/>
      <c r="AB105" s="461"/>
      <c r="AC105" s="176"/>
      <c r="AD105" s="176"/>
      <c r="AW105" s="176"/>
    </row>
    <row r="106" spans="1:104" s="178" customFormat="1" ht="12" customHeight="1" thickBot="1" x14ac:dyDescent="0.5">
      <c r="A106" s="249"/>
      <c r="B106" s="250"/>
      <c r="C106" s="250"/>
      <c r="D106" s="250"/>
      <c r="E106" s="337"/>
      <c r="F106" s="338"/>
      <c r="G106" s="338"/>
      <c r="H106" s="338"/>
      <c r="I106" s="250"/>
      <c r="J106" s="250"/>
      <c r="K106" s="250"/>
      <c r="L106" s="251"/>
      <c r="M106" s="463"/>
      <c r="N106" s="500"/>
      <c r="O106" s="506"/>
      <c r="P106" s="506"/>
      <c r="Q106" s="506"/>
      <c r="R106" s="506"/>
      <c r="S106" s="506"/>
      <c r="T106" s="506"/>
      <c r="U106" s="506"/>
      <c r="V106" s="506"/>
      <c r="W106" s="506"/>
      <c r="X106" s="506"/>
      <c r="Y106" s="506"/>
      <c r="Z106" s="506"/>
      <c r="AA106" s="506"/>
      <c r="AB106" s="461"/>
      <c r="AC106" s="176"/>
      <c r="AD106" s="176"/>
      <c r="AE106" s="754"/>
      <c r="AF106" s="754"/>
      <c r="AG106" s="754"/>
      <c r="AH106" s="754"/>
      <c r="AI106" s="754"/>
      <c r="AJ106" s="754"/>
      <c r="AK106" s="754"/>
      <c r="AL106" s="754"/>
      <c r="AM106" s="176"/>
      <c r="AN106" s="176"/>
      <c r="AO106" s="176"/>
      <c r="AP106" s="176"/>
      <c r="AQ106" s="176"/>
      <c r="AR106" s="176"/>
      <c r="AS106" s="176"/>
      <c r="AT106" s="176"/>
      <c r="AU106" s="176"/>
      <c r="AV106" s="176"/>
      <c r="AW106" s="177"/>
      <c r="AX106" s="176"/>
      <c r="AY106" s="176"/>
      <c r="AZ106" s="176"/>
      <c r="BA106" s="176"/>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M106" s="179"/>
      <c r="CN106" s="179"/>
      <c r="CO106" s="179"/>
      <c r="CP106" s="179"/>
      <c r="CQ106" s="179"/>
      <c r="CR106" s="179"/>
      <c r="CS106" s="179"/>
      <c r="CT106" s="179"/>
      <c r="CU106" s="179"/>
      <c r="CV106" s="179"/>
      <c r="CW106" s="179"/>
      <c r="CX106" s="179"/>
      <c r="CY106" s="179"/>
      <c r="CZ106" s="179"/>
    </row>
    <row r="107" spans="1:104" s="178" customFormat="1" ht="21.5" thickBot="1" x14ac:dyDescent="0.55000000000000004">
      <c r="A107" s="260"/>
      <c r="B107" s="934"/>
      <c r="C107" s="935"/>
      <c r="D107" s="591"/>
      <c r="E107" s="309" t="s">
        <v>148</v>
      </c>
      <c r="F107" s="309"/>
      <c r="G107" s="109"/>
      <c r="H107" s="309"/>
      <c r="I107" s="331"/>
      <c r="J107" s="301" t="s">
        <v>13</v>
      </c>
      <c r="K107" s="107">
        <f>IF(ISERROR(K101),"€0",K101-I105)</f>
        <v>0</v>
      </c>
      <c r="L107" s="183"/>
      <c r="M107" s="463"/>
      <c r="N107" s="512"/>
      <c r="O107" s="506"/>
      <c r="P107" s="506"/>
      <c r="Q107" s="506"/>
      <c r="R107" s="506"/>
      <c r="S107" s="506"/>
      <c r="T107" s="506"/>
      <c r="U107" s="506"/>
      <c r="V107" s="506"/>
      <c r="W107" s="506"/>
      <c r="X107" s="506"/>
      <c r="Y107" s="506"/>
      <c r="Z107" s="506"/>
      <c r="AA107" s="506"/>
      <c r="AB107" s="466"/>
      <c r="AC107" s="339"/>
      <c r="AD107" s="339"/>
      <c r="AE107" s="754"/>
      <c r="AF107" s="754"/>
      <c r="AG107" s="754"/>
      <c r="AH107" s="754"/>
      <c r="AI107" s="754"/>
      <c r="AJ107" s="754"/>
      <c r="AK107" s="754"/>
      <c r="AL107" s="754"/>
      <c r="AM107" s="176"/>
      <c r="AN107" s="176"/>
      <c r="AO107" s="176"/>
      <c r="AP107" s="176"/>
      <c r="AQ107" s="176"/>
      <c r="AR107" s="176"/>
      <c r="AS107" s="176"/>
      <c r="AT107" s="176"/>
      <c r="AU107" s="176"/>
      <c r="AV107" s="176"/>
      <c r="AW107" s="176"/>
      <c r="AX107" s="176"/>
      <c r="AY107" s="176"/>
      <c r="AZ107" s="176"/>
      <c r="BA107" s="176"/>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M107" s="179"/>
      <c r="CN107" s="179"/>
      <c r="CO107" s="179"/>
      <c r="CP107" s="179"/>
      <c r="CQ107" s="179"/>
      <c r="CR107" s="179"/>
      <c r="CS107" s="179"/>
      <c r="CT107" s="179"/>
      <c r="CU107" s="179"/>
      <c r="CV107" s="179"/>
      <c r="CW107" s="179"/>
      <c r="CX107" s="179"/>
      <c r="CY107" s="179"/>
      <c r="CZ107" s="179"/>
    </row>
    <row r="108" spans="1:104" s="178" customFormat="1" ht="15.5" x14ac:dyDescent="0.35">
      <c r="A108" s="249"/>
      <c r="B108" s="935"/>
      <c r="C108" s="935"/>
      <c r="D108" s="591"/>
      <c r="E108" s="250"/>
      <c r="F108" s="250"/>
      <c r="G108" s="250"/>
      <c r="H108" s="250"/>
      <c r="I108" s="250"/>
      <c r="J108" s="250"/>
      <c r="K108" s="250"/>
      <c r="L108" s="251"/>
      <c r="M108" s="175"/>
      <c r="N108" s="473"/>
      <c r="O108" s="467"/>
      <c r="P108" s="467"/>
      <c r="Q108" s="467"/>
      <c r="R108" s="467"/>
      <c r="S108" s="467"/>
      <c r="T108" s="467"/>
      <c r="U108" s="467"/>
      <c r="V108" s="467"/>
      <c r="W108" s="467"/>
      <c r="X108" s="467"/>
      <c r="Y108" s="467"/>
      <c r="Z108" s="467"/>
      <c r="AA108" s="467"/>
      <c r="AB108" s="176"/>
      <c r="AC108" s="176"/>
      <c r="AD108" s="176"/>
      <c r="AE108" s="754"/>
      <c r="AF108" s="754"/>
      <c r="AG108" s="754"/>
      <c r="AH108" s="754"/>
      <c r="AI108" s="754"/>
      <c r="AJ108" s="754"/>
      <c r="AK108" s="754"/>
      <c r="AL108" s="754"/>
      <c r="AM108" s="176"/>
      <c r="AN108" s="176"/>
      <c r="AO108" s="176"/>
      <c r="AP108" s="176"/>
      <c r="AQ108" s="176"/>
      <c r="AR108" s="176"/>
      <c r="AS108" s="176"/>
      <c r="AT108" s="176"/>
      <c r="AU108" s="176"/>
      <c r="AV108" s="176"/>
      <c r="AW108" s="176"/>
      <c r="AX108" s="176"/>
      <c r="AY108" s="176"/>
      <c r="AZ108" s="176"/>
      <c r="BA108" s="176"/>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M108" s="179"/>
      <c r="CN108" s="179"/>
      <c r="CO108" s="179"/>
      <c r="CP108" s="179"/>
      <c r="CQ108" s="179"/>
      <c r="CR108" s="179"/>
      <c r="CS108" s="179"/>
      <c r="CT108" s="179"/>
      <c r="CU108" s="179"/>
      <c r="CV108" s="179"/>
      <c r="CW108" s="179"/>
      <c r="CX108" s="179"/>
      <c r="CY108" s="179"/>
      <c r="CZ108" s="179"/>
    </row>
    <row r="109" spans="1:104" s="178" customFormat="1" ht="20.25" hidden="1" customHeight="1" x14ac:dyDescent="0.5">
      <c r="A109" s="249"/>
      <c r="B109" s="935"/>
      <c r="C109" s="935"/>
      <c r="D109" s="591"/>
      <c r="E109" s="936" t="s">
        <v>259</v>
      </c>
      <c r="F109" s="937"/>
      <c r="G109" s="937"/>
      <c r="H109" s="937"/>
      <c r="I109" s="250"/>
      <c r="J109" s="250"/>
      <c r="K109" s="556"/>
      <c r="L109" s="251"/>
      <c r="M109" s="175"/>
      <c r="N109" s="473"/>
      <c r="O109" s="467"/>
      <c r="P109" s="467"/>
      <c r="Q109" s="467"/>
      <c r="R109" s="467"/>
      <c r="S109" s="467"/>
      <c r="T109" s="467"/>
      <c r="U109" s="467"/>
      <c r="V109" s="467"/>
      <c r="W109" s="467"/>
      <c r="X109" s="467"/>
      <c r="Y109" s="467"/>
      <c r="Z109" s="467"/>
      <c r="AA109" s="467"/>
      <c r="AB109" s="176"/>
      <c r="AC109" s="176"/>
      <c r="AD109" s="176"/>
      <c r="AE109" s="754"/>
      <c r="AF109" s="754"/>
      <c r="AG109" s="754"/>
      <c r="AH109" s="754"/>
      <c r="AI109" s="754"/>
      <c r="AJ109" s="754"/>
      <c r="AK109" s="754"/>
      <c r="AL109" s="754"/>
      <c r="AM109" s="176"/>
      <c r="AN109" s="176"/>
      <c r="AO109" s="176"/>
      <c r="AP109" s="176"/>
      <c r="AQ109" s="176"/>
      <c r="AR109" s="176"/>
      <c r="AS109" s="176"/>
      <c r="AT109" s="176"/>
      <c r="AU109" s="176"/>
      <c r="AV109" s="176"/>
      <c r="AW109" s="176"/>
      <c r="AX109" s="176"/>
      <c r="AY109" s="176"/>
      <c r="AZ109" s="176"/>
      <c r="BA109" s="176"/>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M109" s="179"/>
      <c r="CN109" s="179"/>
      <c r="CO109" s="179"/>
      <c r="CP109" s="179"/>
      <c r="CQ109" s="179"/>
      <c r="CR109" s="179"/>
      <c r="CS109" s="179"/>
      <c r="CT109" s="179"/>
      <c r="CU109" s="179"/>
      <c r="CV109" s="179"/>
      <c r="CW109" s="179"/>
      <c r="CX109" s="179"/>
      <c r="CY109" s="179"/>
      <c r="CZ109" s="179"/>
    </row>
    <row r="110" spans="1:104" s="178" customFormat="1" ht="16" thickBot="1" x14ac:dyDescent="0.4">
      <c r="A110" s="249"/>
      <c r="B110" s="935"/>
      <c r="C110" s="935"/>
      <c r="D110" s="591"/>
      <c r="E110" s="250"/>
      <c r="F110" s="250"/>
      <c r="G110" s="250"/>
      <c r="H110" s="250"/>
      <c r="I110" s="250"/>
      <c r="J110" s="250"/>
      <c r="K110" s="250"/>
      <c r="L110" s="251"/>
      <c r="M110" s="175"/>
      <c r="N110" s="473"/>
      <c r="O110" s="467"/>
      <c r="P110" s="467"/>
      <c r="Q110" s="467"/>
      <c r="R110" s="467"/>
      <c r="S110" s="467"/>
      <c r="T110" s="467"/>
      <c r="U110" s="467"/>
      <c r="V110" s="467"/>
      <c r="W110" s="467"/>
      <c r="X110" s="467"/>
      <c r="Y110" s="467"/>
      <c r="Z110" s="467"/>
      <c r="AA110" s="467"/>
      <c r="AB110" s="176"/>
      <c r="AC110" s="176"/>
      <c r="AD110" s="176"/>
      <c r="AE110" s="754"/>
      <c r="AF110" s="754"/>
      <c r="AG110" s="754"/>
      <c r="AH110" s="754"/>
      <c r="AI110" s="754"/>
      <c r="AJ110" s="754"/>
      <c r="AK110" s="754"/>
      <c r="AL110" s="754"/>
      <c r="AM110" s="176"/>
      <c r="AN110" s="176"/>
      <c r="AO110" s="176"/>
      <c r="AP110" s="176"/>
      <c r="AQ110" s="176"/>
      <c r="AR110" s="176"/>
      <c r="AS110" s="176"/>
      <c r="AT110" s="176"/>
      <c r="AU110" s="176"/>
      <c r="AV110" s="176"/>
      <c r="AW110" s="176"/>
      <c r="AX110" s="176"/>
      <c r="AY110" s="176"/>
      <c r="AZ110" s="176"/>
      <c r="BA110" s="176"/>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M110" s="179"/>
      <c r="CN110" s="179"/>
      <c r="CO110" s="179"/>
      <c r="CP110" s="179"/>
      <c r="CQ110" s="179"/>
      <c r="CR110" s="179"/>
      <c r="CS110" s="179"/>
      <c r="CT110" s="179"/>
      <c r="CU110" s="179"/>
      <c r="CV110" s="179"/>
      <c r="CW110" s="179"/>
      <c r="CX110" s="179"/>
      <c r="CY110" s="179"/>
      <c r="CZ110" s="179"/>
    </row>
    <row r="111" spans="1:104" s="178" customFormat="1" ht="21.5" thickBot="1" x14ac:dyDescent="0.4">
      <c r="A111" s="340"/>
      <c r="B111" s="935"/>
      <c r="C111" s="935"/>
      <c r="D111" s="591"/>
      <c r="E111" s="555" t="s">
        <v>76</v>
      </c>
      <c r="F111" s="342"/>
      <c r="G111" s="342"/>
      <c r="H111" s="342"/>
      <c r="I111" s="343"/>
      <c r="J111" s="341"/>
      <c r="K111" s="110">
        <f>IF(ISERROR(K87+K94+K103+K107),0,K87+K94+K103+K107)</f>
        <v>0</v>
      </c>
      <c r="L111" s="344"/>
      <c r="M111" s="175"/>
      <c r="N111" s="467"/>
      <c r="O111" s="467"/>
      <c r="P111" s="467"/>
      <c r="Q111" s="467"/>
      <c r="R111" s="467"/>
      <c r="S111" s="467"/>
      <c r="T111" s="467"/>
      <c r="U111" s="467"/>
      <c r="V111" s="467"/>
      <c r="W111" s="467"/>
      <c r="X111" s="467"/>
      <c r="Y111" s="467"/>
      <c r="Z111" s="467"/>
      <c r="AA111" s="467"/>
      <c r="AB111" s="339"/>
      <c r="AC111" s="339"/>
      <c r="AD111" s="339"/>
      <c r="AE111" s="754"/>
      <c r="AF111" s="754"/>
      <c r="AG111" s="754"/>
      <c r="AH111" s="754"/>
      <c r="AI111" s="754"/>
      <c r="AJ111" s="754"/>
      <c r="AK111" s="754"/>
      <c r="AL111" s="754"/>
      <c r="AM111" s="176"/>
      <c r="AN111" s="176"/>
      <c r="AO111" s="176"/>
      <c r="AP111" s="176"/>
      <c r="AQ111" s="176"/>
      <c r="AR111" s="176"/>
      <c r="AS111" s="176"/>
      <c r="AT111" s="176"/>
      <c r="AU111" s="176"/>
      <c r="AV111" s="176"/>
      <c r="AW111" s="176"/>
      <c r="AX111" s="176"/>
      <c r="AY111" s="176"/>
      <c r="AZ111" s="176"/>
      <c r="BA111" s="176"/>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M111" s="179"/>
      <c r="CN111" s="179"/>
      <c r="CO111" s="179"/>
      <c r="CP111" s="179"/>
      <c r="CQ111" s="179"/>
      <c r="CR111" s="179"/>
      <c r="CS111" s="179"/>
      <c r="CT111" s="179"/>
      <c r="CU111" s="179"/>
      <c r="CV111" s="179"/>
      <c r="CW111" s="179"/>
      <c r="CX111" s="179"/>
      <c r="CY111" s="179"/>
      <c r="CZ111" s="179"/>
    </row>
    <row r="112" spans="1:104" s="178" customFormat="1" ht="14.25" customHeight="1" thickBot="1" x14ac:dyDescent="0.4">
      <c r="A112" s="249"/>
      <c r="B112" s="250"/>
      <c r="C112" s="250"/>
      <c r="D112" s="250"/>
      <c r="E112" s="250"/>
      <c r="F112" s="250"/>
      <c r="G112" s="250"/>
      <c r="H112" s="250"/>
      <c r="I112" s="274"/>
      <c r="J112" s="250"/>
      <c r="K112" s="250"/>
      <c r="L112" s="251"/>
      <c r="M112" s="175"/>
      <c r="N112" s="467"/>
      <c r="O112" s="467"/>
      <c r="P112" s="467"/>
      <c r="Q112" s="467"/>
      <c r="R112" s="467"/>
      <c r="S112" s="467"/>
      <c r="T112" s="467"/>
      <c r="U112" s="467"/>
      <c r="V112" s="467"/>
      <c r="W112" s="467"/>
      <c r="X112" s="467"/>
      <c r="Y112" s="467"/>
      <c r="Z112" s="467"/>
      <c r="AA112" s="467"/>
      <c r="AB112" s="176"/>
      <c r="AC112" s="176"/>
      <c r="AD112" s="176"/>
      <c r="AE112" s="754"/>
      <c r="AF112" s="754"/>
      <c r="AG112" s="754"/>
      <c r="AH112" s="754"/>
      <c r="AI112" s="754"/>
      <c r="AJ112" s="754"/>
      <c r="AK112" s="754"/>
      <c r="AL112" s="754"/>
      <c r="AM112" s="176"/>
      <c r="AN112" s="176"/>
      <c r="AO112" s="176"/>
      <c r="AP112" s="176"/>
      <c r="AQ112" s="176"/>
      <c r="AR112" s="176"/>
      <c r="AS112" s="176"/>
      <c r="AT112" s="176"/>
      <c r="AU112" s="176"/>
      <c r="AV112" s="176"/>
      <c r="AW112" s="176"/>
      <c r="AX112" s="176"/>
      <c r="AY112" s="176"/>
      <c r="AZ112" s="176"/>
      <c r="BA112" s="176"/>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M112" s="179"/>
      <c r="CN112" s="179"/>
      <c r="CO112" s="179"/>
      <c r="CP112" s="179"/>
      <c r="CQ112" s="179"/>
      <c r="CR112" s="179"/>
      <c r="CS112" s="179"/>
      <c r="CT112" s="179"/>
      <c r="CU112" s="179"/>
      <c r="CV112" s="179"/>
      <c r="CW112" s="179"/>
      <c r="CX112" s="179"/>
      <c r="CY112" s="179"/>
      <c r="CZ112" s="179"/>
    </row>
    <row r="113" spans="1:105" ht="30.75" hidden="1" customHeight="1" x14ac:dyDescent="0.35">
      <c r="A113" s="345"/>
      <c r="B113" s="346"/>
      <c r="C113" s="346"/>
      <c r="D113" s="346"/>
      <c r="E113" s="346"/>
      <c r="F113" s="346"/>
      <c r="G113" s="346"/>
      <c r="H113" s="347"/>
      <c r="I113" s="250"/>
      <c r="J113" s="348"/>
      <c r="K113" s="349"/>
      <c r="L113" s="251"/>
    </row>
    <row r="114" spans="1:105" s="178" customFormat="1" ht="11.25" hidden="1" customHeight="1" thickBot="1" x14ac:dyDescent="0.4">
      <c r="A114" s="273"/>
      <c r="B114" s="274"/>
      <c r="C114" s="274"/>
      <c r="D114" s="274"/>
      <c r="E114" s="274"/>
      <c r="F114" s="274"/>
      <c r="G114" s="1008" t="str">
        <f>IF(N1226="No","If your Credit history isn't satisfactory we may not be able to give you a mortgage","")</f>
        <v/>
      </c>
      <c r="H114" s="1008"/>
      <c r="I114" s="1008"/>
      <c r="J114" s="1008"/>
      <c r="K114" s="1008"/>
      <c r="L114" s="275"/>
      <c r="M114" s="175"/>
      <c r="N114" s="467"/>
      <c r="O114" s="467"/>
      <c r="P114" s="467"/>
      <c r="Q114" s="467"/>
      <c r="R114" s="467"/>
      <c r="S114" s="467"/>
      <c r="T114" s="467"/>
      <c r="U114" s="467"/>
      <c r="V114" s="467"/>
      <c r="W114" s="467"/>
      <c r="X114" s="467"/>
      <c r="Y114" s="467"/>
      <c r="Z114" s="467"/>
      <c r="AA114" s="467"/>
      <c r="AB114" s="176"/>
      <c r="AC114" s="176"/>
      <c r="AD114" s="176"/>
      <c r="AE114" s="754"/>
      <c r="AF114" s="754"/>
      <c r="AG114" s="754"/>
      <c r="AH114" s="754"/>
      <c r="AI114" s="754"/>
      <c r="AJ114" s="754"/>
      <c r="AK114" s="754"/>
      <c r="AL114" s="754"/>
      <c r="AM114" s="176"/>
      <c r="AN114" s="176"/>
      <c r="AO114" s="176"/>
      <c r="AP114" s="176"/>
      <c r="AQ114" s="176"/>
      <c r="AR114" s="176"/>
      <c r="AS114" s="176"/>
      <c r="AT114" s="176"/>
      <c r="AU114" s="176"/>
      <c r="AV114" s="176"/>
      <c r="AW114" s="176"/>
      <c r="AX114" s="176"/>
      <c r="AY114" s="176"/>
      <c r="AZ114" s="176"/>
      <c r="BA114" s="176"/>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M114" s="179"/>
      <c r="CN114" s="179"/>
      <c r="CO114" s="179"/>
      <c r="CP114" s="179"/>
      <c r="CQ114" s="179"/>
      <c r="CR114" s="179"/>
      <c r="CS114" s="179"/>
      <c r="CT114" s="179"/>
      <c r="CU114" s="179"/>
      <c r="CV114" s="179"/>
      <c r="CW114" s="179"/>
      <c r="CX114" s="179"/>
      <c r="CY114" s="179"/>
      <c r="CZ114" s="179"/>
    </row>
    <row r="115" spans="1:105" s="352" customFormat="1" ht="12.75" hidden="1" customHeight="1" x14ac:dyDescent="0.35">
      <c r="A115" s="314"/>
      <c r="B115" s="315"/>
      <c r="C115" s="315"/>
      <c r="D115" s="315"/>
      <c r="E115" s="315"/>
      <c r="F115" s="315"/>
      <c r="G115" s="315"/>
      <c r="H115" s="315"/>
      <c r="I115" s="315"/>
      <c r="J115" s="315"/>
      <c r="K115" s="350"/>
      <c r="L115" s="316"/>
      <c r="M115" s="351"/>
      <c r="N115" s="467"/>
      <c r="O115" s="513"/>
      <c r="P115" s="513"/>
      <c r="Q115" s="513"/>
      <c r="R115" s="513"/>
      <c r="S115" s="513"/>
      <c r="T115" s="513"/>
      <c r="U115" s="513"/>
      <c r="V115" s="513"/>
      <c r="W115" s="513"/>
      <c r="X115" s="513"/>
      <c r="Y115" s="513"/>
      <c r="Z115" s="513"/>
      <c r="AA115" s="513"/>
      <c r="AB115" s="177"/>
      <c r="AC115" s="177"/>
      <c r="AD115" s="177"/>
      <c r="AE115" s="761"/>
      <c r="AF115" s="761"/>
      <c r="AG115" s="761"/>
      <c r="AH115" s="761"/>
      <c r="AI115" s="761"/>
      <c r="AJ115" s="761"/>
      <c r="AK115" s="761"/>
      <c r="AL115" s="761"/>
      <c r="AM115" s="339"/>
      <c r="AN115" s="339"/>
      <c r="AO115" s="339"/>
      <c r="AP115" s="339"/>
      <c r="AQ115" s="339"/>
      <c r="AR115" s="339"/>
      <c r="AS115" s="339"/>
      <c r="AT115" s="339"/>
      <c r="AU115" s="339"/>
      <c r="AV115" s="339"/>
      <c r="AW115" s="176"/>
      <c r="AX115" s="339"/>
      <c r="AY115" s="339"/>
      <c r="AZ115" s="339"/>
      <c r="BA115" s="339"/>
      <c r="BN115" s="353"/>
      <c r="BO115" s="353"/>
      <c r="BP115" s="353"/>
      <c r="BQ115" s="353"/>
      <c r="BR115" s="353"/>
      <c r="BS115" s="353"/>
      <c r="BT115" s="353"/>
      <c r="BU115" s="353"/>
      <c r="BV115" s="353"/>
      <c r="BW115" s="353"/>
      <c r="BX115" s="353"/>
      <c r="BY115" s="353"/>
      <c r="BZ115" s="353"/>
      <c r="CA115" s="353"/>
      <c r="CB115" s="353"/>
      <c r="CC115" s="353"/>
      <c r="CD115" s="353"/>
      <c r="CE115" s="353"/>
      <c r="CF115" s="353"/>
      <c r="CG115" s="353"/>
      <c r="CM115" s="353"/>
      <c r="CN115" s="353"/>
      <c r="CO115" s="353"/>
      <c r="CP115" s="353"/>
      <c r="CQ115" s="353"/>
      <c r="CR115" s="353"/>
      <c r="CS115" s="353"/>
      <c r="CT115" s="353"/>
      <c r="CU115" s="353"/>
      <c r="CV115" s="353"/>
      <c r="CW115" s="353"/>
      <c r="CX115" s="353"/>
      <c r="CY115" s="353"/>
      <c r="CZ115" s="353"/>
    </row>
    <row r="116" spans="1:105" s="178" customFormat="1" ht="12.75" hidden="1" customHeight="1" thickBot="1" x14ac:dyDescent="0.4">
      <c r="A116" s="238"/>
      <c r="B116" s="239"/>
      <c r="C116" s="239"/>
      <c r="D116" s="239"/>
      <c r="E116" s="239"/>
      <c r="F116" s="239"/>
      <c r="G116" s="239"/>
      <c r="H116" s="239"/>
      <c r="I116" s="239"/>
      <c r="J116" s="239"/>
      <c r="K116" s="349"/>
      <c r="L116" s="240"/>
      <c r="M116" s="175"/>
      <c r="N116" s="467"/>
      <c r="O116" s="467"/>
      <c r="P116" s="467"/>
      <c r="Q116" s="467"/>
      <c r="R116" s="467"/>
      <c r="S116" s="467"/>
      <c r="T116" s="467"/>
      <c r="U116" s="467"/>
      <c r="V116" s="467"/>
      <c r="W116" s="467"/>
      <c r="X116" s="467"/>
      <c r="Y116" s="467"/>
      <c r="Z116" s="467"/>
      <c r="AA116" s="467"/>
      <c r="AB116" s="354"/>
      <c r="AC116" s="354"/>
      <c r="AD116" s="354"/>
      <c r="AE116" s="754"/>
      <c r="AF116" s="754"/>
      <c r="AG116" s="754"/>
      <c r="AH116" s="754"/>
      <c r="AI116" s="754"/>
      <c r="AJ116" s="754"/>
      <c r="AK116" s="754"/>
      <c r="AL116" s="754"/>
      <c r="AM116" s="176"/>
      <c r="AN116" s="176"/>
      <c r="AO116" s="176"/>
      <c r="AP116" s="176"/>
      <c r="AQ116" s="176"/>
      <c r="AR116" s="176"/>
      <c r="AS116" s="176"/>
      <c r="AT116" s="176"/>
      <c r="AU116" s="176"/>
      <c r="AV116" s="176"/>
      <c r="AW116" s="339"/>
      <c r="AX116" s="176"/>
      <c r="AY116" s="176"/>
      <c r="AZ116" s="176"/>
      <c r="BA116" s="176"/>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M116" s="179"/>
      <c r="CN116" s="179"/>
      <c r="CO116" s="179"/>
      <c r="CP116" s="179"/>
      <c r="CQ116" s="179"/>
      <c r="CR116" s="179"/>
      <c r="CS116" s="179"/>
      <c r="CT116" s="179"/>
      <c r="CU116" s="179"/>
      <c r="CV116" s="179"/>
      <c r="CW116" s="179"/>
      <c r="CX116" s="179"/>
      <c r="CY116" s="179"/>
      <c r="CZ116" s="179"/>
    </row>
    <row r="117" spans="1:105" s="352" customFormat="1" ht="21.5" hidden="1" thickBot="1" x14ac:dyDescent="0.4">
      <c r="A117" s="1009" t="s">
        <v>494</v>
      </c>
      <c r="B117" s="1010"/>
      <c r="C117" s="1010"/>
      <c r="D117" s="1010"/>
      <c r="E117" s="1010"/>
      <c r="F117" s="1010"/>
      <c r="G117" s="1010"/>
      <c r="H117" s="1010"/>
      <c r="I117" s="1010"/>
      <c r="J117" s="1010"/>
      <c r="K117" s="1010"/>
      <c r="L117" s="1011"/>
      <c r="M117" s="351"/>
      <c r="N117" s="467"/>
      <c r="O117" s="513"/>
      <c r="P117" s="513"/>
      <c r="Q117" s="513"/>
      <c r="R117" s="513"/>
      <c r="S117" s="513"/>
      <c r="T117" s="513"/>
      <c r="U117" s="513"/>
      <c r="V117" s="513"/>
      <c r="W117" s="513"/>
      <c r="X117" s="513"/>
      <c r="Y117" s="513"/>
      <c r="Z117" s="513"/>
      <c r="AA117" s="513"/>
      <c r="AB117" s="177"/>
      <c r="AC117" s="177"/>
      <c r="AD117" s="177"/>
      <c r="AE117" s="761"/>
      <c r="AF117" s="761"/>
      <c r="AG117" s="761"/>
      <c r="AH117" s="761"/>
      <c r="AI117" s="761"/>
      <c r="AJ117" s="761"/>
      <c r="AK117" s="761"/>
      <c r="AL117" s="761"/>
      <c r="AM117" s="339"/>
      <c r="AN117" s="339"/>
      <c r="AO117" s="339"/>
      <c r="AP117" s="339"/>
      <c r="AQ117" s="339"/>
      <c r="AR117" s="339"/>
      <c r="AS117" s="339"/>
      <c r="AT117" s="339"/>
      <c r="AU117" s="339"/>
      <c r="AV117" s="339"/>
      <c r="AW117" s="176"/>
      <c r="AX117" s="339"/>
      <c r="AY117" s="339"/>
      <c r="AZ117" s="339"/>
      <c r="BA117" s="339"/>
      <c r="BN117" s="353"/>
      <c r="BO117" s="353"/>
      <c r="BP117" s="353"/>
      <c r="BQ117" s="353"/>
      <c r="BR117" s="353"/>
      <c r="BS117" s="353"/>
      <c r="BT117" s="353"/>
      <c r="BU117" s="353"/>
      <c r="BV117" s="353"/>
      <c r="BW117" s="353"/>
      <c r="BX117" s="353"/>
      <c r="BY117" s="353"/>
      <c r="BZ117" s="353"/>
      <c r="CA117" s="353"/>
      <c r="CB117" s="353"/>
      <c r="CC117" s="353"/>
      <c r="CD117" s="353"/>
      <c r="CE117" s="353"/>
      <c r="CF117" s="353"/>
      <c r="CG117" s="353"/>
      <c r="CM117" s="353"/>
      <c r="CN117" s="353"/>
      <c r="CO117" s="353"/>
      <c r="CP117" s="353"/>
      <c r="CQ117" s="353"/>
      <c r="CR117" s="353"/>
      <c r="CS117" s="353"/>
      <c r="CT117" s="353"/>
      <c r="CU117" s="353"/>
      <c r="CV117" s="353"/>
      <c r="CW117" s="353"/>
      <c r="CX117" s="353"/>
      <c r="CY117" s="353"/>
      <c r="CZ117" s="353"/>
    </row>
    <row r="118" spans="1:105" s="178" customFormat="1" ht="16" hidden="1" thickBot="1" x14ac:dyDescent="0.4">
      <c r="A118" s="242"/>
      <c r="B118" s="243"/>
      <c r="C118" s="243"/>
      <c r="D118" s="243"/>
      <c r="E118" s="243"/>
      <c r="F118" s="243"/>
      <c r="G118" s="243"/>
      <c r="H118" s="243"/>
      <c r="I118" s="243"/>
      <c r="J118" s="243"/>
      <c r="K118" s="243"/>
      <c r="L118" s="244"/>
      <c r="M118" s="175"/>
      <c r="N118" s="513"/>
      <c r="O118" s="467"/>
      <c r="P118" s="467"/>
      <c r="Q118" s="467"/>
      <c r="R118" s="467"/>
      <c r="S118" s="467"/>
      <c r="T118" s="467"/>
      <c r="U118" s="467"/>
      <c r="V118" s="467"/>
      <c r="W118" s="467"/>
      <c r="X118" s="467"/>
      <c r="Y118" s="467"/>
      <c r="Z118" s="467"/>
      <c r="AA118" s="467"/>
      <c r="AB118" s="177"/>
      <c r="AC118" s="177"/>
      <c r="AD118" s="177"/>
      <c r="AE118" s="754"/>
      <c r="AF118" s="754"/>
      <c r="AG118" s="754"/>
      <c r="AH118" s="754"/>
      <c r="AI118" s="754"/>
      <c r="AJ118" s="754"/>
      <c r="AK118" s="754"/>
      <c r="AL118" s="754"/>
      <c r="AM118" s="176"/>
      <c r="AN118" s="176"/>
      <c r="AO118" s="176"/>
      <c r="AP118" s="176"/>
      <c r="AQ118" s="176"/>
      <c r="AR118" s="176"/>
      <c r="AS118" s="176"/>
      <c r="AT118" s="176"/>
      <c r="AU118" s="176"/>
      <c r="AV118" s="176"/>
      <c r="AW118" s="339"/>
      <c r="AX118" s="176"/>
      <c r="AY118" s="176"/>
      <c r="AZ118" s="176"/>
      <c r="BA118" s="176"/>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M118" s="179"/>
      <c r="CN118" s="179"/>
      <c r="CO118" s="179"/>
      <c r="CP118" s="179"/>
      <c r="CQ118" s="179"/>
      <c r="CR118" s="179"/>
      <c r="CS118" s="179"/>
      <c r="CT118" s="179"/>
      <c r="CU118" s="179"/>
      <c r="CV118" s="179"/>
      <c r="CW118" s="179"/>
      <c r="CX118" s="179"/>
      <c r="CY118" s="179"/>
      <c r="CZ118" s="179"/>
    </row>
    <row r="119" spans="1:105" ht="19" hidden="1" thickBot="1" x14ac:dyDescent="0.4">
      <c r="A119" s="355" t="s">
        <v>77</v>
      </c>
      <c r="B119" s="348"/>
      <c r="C119" s="348"/>
      <c r="D119" s="348"/>
      <c r="E119" s="348"/>
      <c r="F119" s="348"/>
      <c r="G119" s="348"/>
      <c r="H119" s="348"/>
      <c r="I119" s="348"/>
      <c r="J119" s="348"/>
      <c r="K119" s="356">
        <f>ROUNDDOWN(IF(ISERROR((K76-K111)*1000/-PMT((AE1+2%)/12,E30*12,1000,0,0)),0,(K76-K111)*1000/-PMT((AE1+2%)/12,E30*12,1000,0,0)),0)</f>
        <v>0</v>
      </c>
      <c r="L119" s="248"/>
      <c r="N119" s="467"/>
      <c r="AW119" s="176"/>
    </row>
    <row r="120" spans="1:105" s="358" customFormat="1" ht="16" hidden="1" thickBot="1" x14ac:dyDescent="0.4">
      <c r="A120" s="263"/>
      <c r="B120" s="264"/>
      <c r="C120" s="181"/>
      <c r="D120" s="181"/>
      <c r="E120" s="265"/>
      <c r="F120" s="264"/>
      <c r="G120" s="264"/>
      <c r="H120" s="181"/>
      <c r="I120" s="265"/>
      <c r="J120" s="264"/>
      <c r="K120" s="267"/>
      <c r="L120" s="254"/>
      <c r="M120" s="357"/>
      <c r="N120" s="513"/>
      <c r="O120" s="514"/>
      <c r="P120" s="514"/>
      <c r="Q120" s="514"/>
      <c r="R120" s="514"/>
      <c r="S120" s="514"/>
      <c r="T120" s="514"/>
      <c r="U120" s="514"/>
      <c r="V120" s="514"/>
      <c r="W120" s="514"/>
      <c r="X120" s="514"/>
      <c r="Y120" s="514"/>
      <c r="Z120" s="514"/>
      <c r="AA120" s="514"/>
      <c r="AB120" s="177"/>
      <c r="AC120" s="177"/>
      <c r="AD120" s="177"/>
      <c r="AE120" s="762"/>
      <c r="AF120" s="762"/>
      <c r="AG120" s="762"/>
      <c r="AH120" s="762"/>
      <c r="AI120" s="762"/>
      <c r="AJ120" s="762"/>
      <c r="AK120" s="762"/>
      <c r="AL120" s="762"/>
      <c r="AM120" s="354"/>
      <c r="AN120" s="354"/>
      <c r="AO120" s="354"/>
      <c r="AP120" s="354"/>
      <c r="AQ120" s="354"/>
      <c r="AR120" s="354"/>
      <c r="AS120" s="354"/>
      <c r="AT120" s="354"/>
      <c r="AU120" s="354"/>
      <c r="AV120" s="354"/>
      <c r="AW120" s="177"/>
      <c r="AX120" s="354"/>
      <c r="AY120" s="354"/>
      <c r="AZ120" s="354"/>
      <c r="BA120" s="354"/>
      <c r="BN120" s="341"/>
      <c r="BO120" s="341"/>
      <c r="BP120" s="341"/>
      <c r="BQ120" s="341"/>
      <c r="BR120" s="341"/>
      <c r="BS120" s="341"/>
      <c r="BT120" s="341"/>
      <c r="BU120" s="341"/>
      <c r="BV120" s="341"/>
      <c r="BW120" s="341"/>
      <c r="BX120" s="341"/>
      <c r="BY120" s="341"/>
      <c r="BZ120" s="341"/>
      <c r="CA120" s="341"/>
      <c r="CB120" s="341"/>
      <c r="CC120" s="341"/>
      <c r="CD120" s="341"/>
      <c r="CE120" s="341"/>
      <c r="CF120" s="341"/>
      <c r="CG120" s="341"/>
      <c r="CM120" s="341"/>
      <c r="CN120" s="341"/>
      <c r="CO120" s="341"/>
      <c r="CP120" s="341"/>
      <c r="CQ120" s="341"/>
      <c r="CR120" s="341"/>
      <c r="CS120" s="341"/>
      <c r="CT120" s="341"/>
      <c r="CU120" s="341"/>
      <c r="CV120" s="341"/>
      <c r="CW120" s="341"/>
      <c r="CX120" s="341"/>
      <c r="CY120" s="341"/>
      <c r="CZ120" s="341"/>
    </row>
    <row r="121" spans="1:105" ht="19" hidden="1" thickBot="1" x14ac:dyDescent="0.4">
      <c r="A121" s="355" t="s">
        <v>78</v>
      </c>
      <c r="B121" s="246"/>
      <c r="C121" s="246"/>
      <c r="D121" s="246"/>
      <c r="E121" s="246"/>
      <c r="F121" s="246"/>
      <c r="G121" s="246" t="s">
        <v>32</v>
      </c>
      <c r="H121" s="246" t="b">
        <f>IF(S1="Single",1400,IF(S1="Joint",R5))</f>
        <v>0</v>
      </c>
      <c r="I121" s="246"/>
      <c r="J121" s="246"/>
      <c r="K121" s="356">
        <f>ROUNDDOWN(IF(ISERROR((K73-K111-H121)*1000/-PMT((N30+2%)/12,E30*12,1000,0,0)),0,(K73-K111-H121)*1000/-PMT((N30+2%)/12,E30*12,1000,0,0)),0)</f>
        <v>0</v>
      </c>
      <c r="L121" s="248"/>
      <c r="N121" s="467"/>
      <c r="AW121" s="354"/>
    </row>
    <row r="122" spans="1:105" ht="16" hidden="1" thickBot="1" x14ac:dyDescent="0.4">
      <c r="A122" s="359"/>
      <c r="B122" s="246"/>
      <c r="C122" s="246"/>
      <c r="D122" s="246"/>
      <c r="E122" s="246"/>
      <c r="F122" s="246" t="s">
        <v>89</v>
      </c>
      <c r="G122" s="246"/>
      <c r="H122" s="246"/>
      <c r="I122" s="246"/>
      <c r="J122" s="246"/>
      <c r="K122" s="246"/>
      <c r="L122" s="248"/>
      <c r="AB122" s="360"/>
      <c r="AC122" s="192"/>
      <c r="AD122" s="361" t="s">
        <v>43</v>
      </c>
    </row>
    <row r="123" spans="1:105" ht="19" hidden="1" thickBot="1" x14ac:dyDescent="0.4">
      <c r="A123" s="355" t="s">
        <v>90</v>
      </c>
      <c r="B123" s="246"/>
      <c r="C123" s="246"/>
      <c r="D123" s="246"/>
      <c r="E123" s="246"/>
      <c r="F123" s="246"/>
      <c r="G123" s="246"/>
      <c r="H123" s="246"/>
      <c r="I123" s="246"/>
      <c r="J123" s="246"/>
      <c r="K123" s="356">
        <f>ROUNDDOWN(IF(ISERROR(((K73-K111-#REF!-200)*1000)/-PMT(AE1/12,E30*12,1000,0,0)),0,((K73-K111-#REF!-200)*1000)/-PMT(AE1/12,E30*12,1000,0,0)),0)</f>
        <v>0</v>
      </c>
      <c r="L123" s="248"/>
      <c r="N123" s="514"/>
      <c r="AB123" s="192"/>
      <c r="AC123" s="192"/>
      <c r="AD123" s="362"/>
    </row>
    <row r="124" spans="1:105" ht="16" hidden="1" thickBot="1" x14ac:dyDescent="0.4">
      <c r="A124" s="359"/>
      <c r="B124" s="246"/>
      <c r="C124" s="246"/>
      <c r="D124" s="246"/>
      <c r="E124" s="246"/>
      <c r="F124" s="246" t="s">
        <v>89</v>
      </c>
      <c r="G124" s="246"/>
      <c r="H124" s="246"/>
      <c r="I124" s="246"/>
      <c r="J124" s="246"/>
      <c r="K124" s="246"/>
      <c r="L124" s="248"/>
      <c r="AB124" s="363">
        <v>50</v>
      </c>
      <c r="AC124" s="256"/>
      <c r="AD124" s="364" t="s">
        <v>44</v>
      </c>
    </row>
    <row r="125" spans="1:105" ht="19" hidden="1" thickBot="1" x14ac:dyDescent="0.4">
      <c r="A125" s="355" t="s">
        <v>79</v>
      </c>
      <c r="B125" s="246"/>
      <c r="C125" s="246"/>
      <c r="D125" s="246"/>
      <c r="E125" s="246"/>
      <c r="F125" s="246"/>
      <c r="G125" s="246"/>
      <c r="H125" s="246"/>
      <c r="I125" s="246"/>
      <c r="J125" s="246"/>
      <c r="K125" s="356">
        <f>ROUNDDOWN(((E63+K63)*4),0)</f>
        <v>0</v>
      </c>
      <c r="L125" s="248"/>
      <c r="AB125" s="365">
        <v>50</v>
      </c>
      <c r="AC125" s="256"/>
      <c r="AD125" s="364" t="s">
        <v>69</v>
      </c>
    </row>
    <row r="126" spans="1:105" s="177" customFormat="1" ht="16" hidden="1" thickBot="1" x14ac:dyDescent="0.4">
      <c r="A126" s="359"/>
      <c r="B126" s="246"/>
      <c r="C126" s="246"/>
      <c r="D126" s="246"/>
      <c r="E126" s="246"/>
      <c r="F126" s="246"/>
      <c r="G126" s="246"/>
      <c r="H126" s="246"/>
      <c r="I126" s="246"/>
      <c r="J126" s="246"/>
      <c r="K126" s="246"/>
      <c r="L126" s="248"/>
      <c r="M126" s="276"/>
      <c r="N126" s="473"/>
      <c r="O126" s="473"/>
      <c r="P126" s="473"/>
      <c r="Q126" s="473"/>
      <c r="R126" s="473"/>
      <c r="S126" s="473"/>
      <c r="T126" s="473"/>
      <c r="U126" s="473"/>
      <c r="V126" s="473"/>
      <c r="W126" s="473"/>
      <c r="X126" s="473"/>
      <c r="Y126" s="515" t="s">
        <v>42</v>
      </c>
      <c r="Z126" s="516"/>
      <c r="AA126" s="516"/>
      <c r="AB126" s="365">
        <v>0</v>
      </c>
      <c r="AC126" s="256"/>
      <c r="AD126" s="364" t="s">
        <v>45</v>
      </c>
      <c r="AE126" s="763"/>
      <c r="AF126" s="763"/>
      <c r="AG126" s="763"/>
      <c r="AH126" s="763"/>
      <c r="AI126" s="763"/>
      <c r="AJ126" s="763"/>
      <c r="AK126" s="763"/>
      <c r="AL126" s="763"/>
      <c r="AM126" s="366"/>
      <c r="AN126" s="366"/>
      <c r="AO126" s="366"/>
      <c r="AP126" s="366"/>
      <c r="AQ126" s="366"/>
      <c r="AR126" s="366"/>
      <c r="AS126" s="366"/>
      <c r="AT126" s="366"/>
      <c r="AU126" s="366"/>
      <c r="AV126" s="360"/>
      <c r="AX126" s="987" t="s">
        <v>49</v>
      </c>
      <c r="AY126" s="988"/>
      <c r="AZ126" s="989"/>
      <c r="BB126" s="281"/>
      <c r="BC126" s="281"/>
      <c r="BD126" s="281"/>
      <c r="BE126" s="281"/>
      <c r="BF126" s="281"/>
      <c r="BG126" s="281"/>
      <c r="BH126" s="281"/>
      <c r="BI126" s="281"/>
      <c r="BJ126" s="281"/>
      <c r="BK126" s="281"/>
      <c r="BL126" s="281"/>
      <c r="BM126" s="281"/>
      <c r="BN126" s="250"/>
      <c r="BO126" s="250"/>
      <c r="BP126" s="250"/>
      <c r="BQ126" s="250"/>
      <c r="BR126" s="250"/>
      <c r="BS126" s="250"/>
      <c r="BT126" s="250"/>
      <c r="BU126" s="250"/>
      <c r="BV126" s="250"/>
      <c r="BW126" s="250"/>
      <c r="BX126" s="250"/>
      <c r="BY126" s="250"/>
      <c r="BZ126" s="250"/>
      <c r="CA126" s="250"/>
      <c r="CB126" s="250"/>
      <c r="CC126" s="250"/>
      <c r="CD126" s="250"/>
      <c r="CE126" s="250"/>
      <c r="CF126" s="250"/>
      <c r="CG126" s="250"/>
      <c r="CH126" s="281"/>
      <c r="CI126" s="281"/>
      <c r="CJ126" s="281"/>
      <c r="CK126" s="281"/>
      <c r="CL126" s="281"/>
      <c r="CM126" s="250"/>
      <c r="CN126" s="250"/>
      <c r="CO126" s="250"/>
      <c r="CP126" s="250"/>
      <c r="CQ126" s="250"/>
      <c r="CR126" s="250"/>
      <c r="CS126" s="250"/>
      <c r="CT126" s="250"/>
      <c r="CU126" s="250"/>
      <c r="CV126" s="250"/>
      <c r="CW126" s="250"/>
      <c r="CX126" s="250"/>
      <c r="CY126" s="250"/>
      <c r="CZ126" s="250"/>
      <c r="DA126" s="281"/>
    </row>
    <row r="127" spans="1:105" s="177" customFormat="1" ht="16" hidden="1" thickBot="1" x14ac:dyDescent="0.4">
      <c r="A127" s="249"/>
      <c r="B127" s="250"/>
      <c r="C127" s="250"/>
      <c r="D127" s="250"/>
      <c r="E127" s="250"/>
      <c r="F127" s="341"/>
      <c r="G127" s="250"/>
      <c r="H127" s="250"/>
      <c r="I127" s="250"/>
      <c r="J127" s="341"/>
      <c r="K127" s="250"/>
      <c r="L127" s="248"/>
      <c r="M127" s="276"/>
      <c r="N127" s="473"/>
      <c r="O127" s="473"/>
      <c r="P127" s="473"/>
      <c r="Q127" s="473"/>
      <c r="R127" s="473"/>
      <c r="S127" s="473"/>
      <c r="T127" s="473"/>
      <c r="U127" s="473"/>
      <c r="V127" s="473"/>
      <c r="W127" s="473"/>
      <c r="X127" s="473"/>
      <c r="Y127" s="517"/>
      <c r="Z127" s="517"/>
      <c r="AA127" s="517"/>
      <c r="AB127" s="365">
        <v>0</v>
      </c>
      <c r="AC127" s="256"/>
      <c r="AD127" s="364" t="s">
        <v>46</v>
      </c>
      <c r="AE127" s="764"/>
      <c r="AF127" s="764"/>
      <c r="AG127" s="764"/>
      <c r="AH127" s="764"/>
      <c r="AI127" s="764"/>
      <c r="AJ127" s="764"/>
      <c r="AK127" s="764"/>
      <c r="AL127" s="764"/>
      <c r="AM127" s="367"/>
      <c r="AN127" s="367"/>
      <c r="AO127" s="367"/>
      <c r="AP127" s="367"/>
      <c r="AQ127" s="367"/>
      <c r="AR127" s="367"/>
      <c r="AS127" s="367"/>
      <c r="AT127" s="367"/>
      <c r="AU127" s="367"/>
      <c r="AV127" s="258"/>
      <c r="AW127" s="192"/>
      <c r="AX127" s="362"/>
      <c r="AY127" s="258"/>
      <c r="AZ127" s="368"/>
      <c r="BB127" s="281"/>
      <c r="BC127" s="281"/>
      <c r="BD127" s="281"/>
      <c r="BE127" s="281"/>
      <c r="BF127" s="281"/>
      <c r="BG127" s="281"/>
      <c r="BH127" s="281"/>
      <c r="BI127" s="281"/>
      <c r="BJ127" s="281"/>
      <c r="BK127" s="281"/>
      <c r="BL127" s="281"/>
      <c r="BM127" s="281"/>
      <c r="BN127" s="250"/>
      <c r="BO127" s="250"/>
      <c r="BP127" s="250"/>
      <c r="BQ127" s="250"/>
      <c r="BR127" s="250"/>
      <c r="BS127" s="250"/>
      <c r="BT127" s="250"/>
      <c r="BU127" s="250"/>
      <c r="BV127" s="250"/>
      <c r="BW127" s="250"/>
      <c r="BX127" s="250"/>
      <c r="BY127" s="250"/>
      <c r="BZ127" s="250"/>
      <c r="CA127" s="250"/>
      <c r="CB127" s="250"/>
      <c r="CC127" s="250"/>
      <c r="CD127" s="250"/>
      <c r="CE127" s="250"/>
      <c r="CF127" s="250"/>
      <c r="CG127" s="250"/>
      <c r="CH127" s="281"/>
      <c r="CI127" s="281"/>
      <c r="CJ127" s="281"/>
      <c r="CK127" s="281"/>
      <c r="CL127" s="281"/>
      <c r="CM127" s="250"/>
      <c r="CN127" s="250"/>
      <c r="CO127" s="250"/>
      <c r="CP127" s="250"/>
      <c r="CQ127" s="250"/>
      <c r="CR127" s="250"/>
      <c r="CS127" s="250"/>
      <c r="CT127" s="250"/>
      <c r="CU127" s="250"/>
      <c r="CV127" s="250"/>
      <c r="CW127" s="250"/>
      <c r="CX127" s="250"/>
      <c r="CY127" s="250"/>
      <c r="CZ127" s="250"/>
      <c r="DA127" s="281"/>
    </row>
    <row r="128" spans="1:105" s="177" customFormat="1" ht="19" hidden="1" thickBot="1" x14ac:dyDescent="0.4">
      <c r="A128" s="355" t="s">
        <v>83</v>
      </c>
      <c r="B128" s="246"/>
      <c r="C128" s="246"/>
      <c r="D128" s="246"/>
      <c r="E128" s="369"/>
      <c r="F128" s="246"/>
      <c r="G128" s="246"/>
      <c r="H128" s="246"/>
      <c r="I128" s="246"/>
      <c r="J128" s="246"/>
      <c r="K128" s="370" t="str">
        <f>IF(E135=K119,"Nets",IF(E135=K121,"NDI",IF(E135=K125,"Income Multiple")))</f>
        <v>Nets</v>
      </c>
      <c r="L128" s="248"/>
      <c r="M128" s="276"/>
      <c r="N128" s="473"/>
      <c r="O128" s="473"/>
      <c r="P128" s="473"/>
      <c r="Q128" s="473"/>
      <c r="R128" s="473"/>
      <c r="S128" s="473"/>
      <c r="T128" s="473"/>
      <c r="U128" s="473"/>
      <c r="V128" s="473"/>
      <c r="W128" s="473"/>
      <c r="X128" s="473"/>
      <c r="Y128" s="518" t="s">
        <v>35</v>
      </c>
      <c r="Z128" s="518"/>
      <c r="AA128" s="518"/>
      <c r="AB128" s="365">
        <v>0</v>
      </c>
      <c r="AC128" s="256"/>
      <c r="AD128" s="364" t="s">
        <v>47</v>
      </c>
      <c r="AE128" s="764"/>
      <c r="AF128" s="764"/>
      <c r="AG128" s="764"/>
      <c r="AH128" s="764"/>
      <c r="AI128" s="764"/>
      <c r="AJ128" s="764"/>
      <c r="AK128" s="764"/>
      <c r="AL128" s="764"/>
      <c r="AM128" s="367"/>
      <c r="AN128" s="367"/>
      <c r="AO128" s="367"/>
      <c r="AP128" s="367"/>
      <c r="AQ128" s="367"/>
      <c r="AR128" s="367"/>
      <c r="AS128" s="367"/>
      <c r="AT128" s="367"/>
      <c r="AU128" s="367"/>
      <c r="AV128" s="363">
        <v>0</v>
      </c>
      <c r="AW128" s="192"/>
      <c r="AX128" s="364" t="s">
        <v>50</v>
      </c>
      <c r="AY128" s="258"/>
      <c r="AZ128" s="363">
        <v>0</v>
      </c>
      <c r="BB128" s="281"/>
      <c r="BC128" s="281"/>
      <c r="BD128" s="281"/>
      <c r="BE128" s="281"/>
      <c r="BF128" s="281"/>
      <c r="BG128" s="281"/>
      <c r="BH128" s="281"/>
      <c r="BI128" s="281"/>
      <c r="BJ128" s="281"/>
      <c r="BK128" s="281"/>
      <c r="BL128" s="281"/>
      <c r="BM128" s="281"/>
      <c r="BN128" s="250"/>
      <c r="BO128" s="250"/>
      <c r="BP128" s="250"/>
      <c r="BQ128" s="250"/>
      <c r="BR128" s="250"/>
      <c r="BS128" s="250"/>
      <c r="BT128" s="250"/>
      <c r="BU128" s="250"/>
      <c r="BV128" s="250"/>
      <c r="BW128" s="250"/>
      <c r="BX128" s="250"/>
      <c r="BY128" s="250"/>
      <c r="BZ128" s="250"/>
      <c r="CA128" s="250"/>
      <c r="CB128" s="250"/>
      <c r="CC128" s="250"/>
      <c r="CD128" s="250"/>
      <c r="CE128" s="250"/>
      <c r="CF128" s="250"/>
      <c r="CG128" s="250"/>
      <c r="CH128" s="281"/>
      <c r="CI128" s="281"/>
      <c r="CJ128" s="281"/>
      <c r="CK128" s="281"/>
      <c r="CL128" s="281"/>
      <c r="CM128" s="250"/>
      <c r="CN128" s="250"/>
      <c r="CO128" s="250"/>
      <c r="CP128" s="250"/>
      <c r="CQ128" s="250"/>
      <c r="CR128" s="250"/>
      <c r="CS128" s="250"/>
      <c r="CT128" s="250"/>
      <c r="CU128" s="250"/>
      <c r="CV128" s="250"/>
      <c r="CW128" s="250"/>
      <c r="CX128" s="250"/>
      <c r="CY128" s="250"/>
      <c r="CZ128" s="250"/>
      <c r="DA128" s="281"/>
    </row>
    <row r="129" spans="1:105" s="177" customFormat="1" ht="16" hidden="1" thickBot="1" x14ac:dyDescent="0.4">
      <c r="A129" s="371"/>
      <c r="B129" s="372"/>
      <c r="C129" s="372"/>
      <c r="D129" s="372"/>
      <c r="E129" s="372"/>
      <c r="F129" s="372"/>
      <c r="G129" s="372"/>
      <c r="H129" s="372"/>
      <c r="I129" s="372"/>
      <c r="J129" s="372"/>
      <c r="K129" s="373"/>
      <c r="L129" s="374"/>
      <c r="M129" s="276"/>
      <c r="N129" s="473"/>
      <c r="O129" s="473"/>
      <c r="P129" s="473"/>
      <c r="Q129" s="473"/>
      <c r="R129" s="473"/>
      <c r="S129" s="473"/>
      <c r="T129" s="473"/>
      <c r="U129" s="473"/>
      <c r="V129" s="473"/>
      <c r="W129" s="473"/>
      <c r="X129" s="473"/>
      <c r="Y129" s="518" t="s">
        <v>36</v>
      </c>
      <c r="Z129" s="518"/>
      <c r="AA129" s="518"/>
      <c r="AB129" s="365">
        <v>0</v>
      </c>
      <c r="AC129" s="256"/>
      <c r="AD129" s="364" t="s">
        <v>48</v>
      </c>
      <c r="AE129" s="764"/>
      <c r="AF129" s="764"/>
      <c r="AG129" s="764"/>
      <c r="AH129" s="764"/>
      <c r="AI129" s="764"/>
      <c r="AJ129" s="764"/>
      <c r="AK129" s="764"/>
      <c r="AL129" s="764"/>
      <c r="AM129" s="367"/>
      <c r="AN129" s="367"/>
      <c r="AO129" s="367"/>
      <c r="AP129" s="367"/>
      <c r="AQ129" s="367"/>
      <c r="AR129" s="367"/>
      <c r="AS129" s="367"/>
      <c r="AT129" s="367"/>
      <c r="AU129" s="367"/>
      <c r="AV129" s="365">
        <v>0</v>
      </c>
      <c r="AW129" s="258"/>
      <c r="AX129" s="364" t="s">
        <v>51</v>
      </c>
      <c r="AY129" s="258"/>
      <c r="AZ129" s="365">
        <v>0</v>
      </c>
      <c r="BB129" s="281"/>
      <c r="BC129" s="281"/>
      <c r="BD129" s="281"/>
      <c r="BE129" s="281"/>
      <c r="BF129" s="281"/>
      <c r="BG129" s="281"/>
      <c r="BH129" s="281"/>
      <c r="BI129" s="281"/>
      <c r="BJ129" s="281"/>
      <c r="BK129" s="281"/>
      <c r="BL129" s="281"/>
      <c r="BM129" s="281"/>
      <c r="BN129" s="250"/>
      <c r="BO129" s="250"/>
      <c r="BP129" s="250"/>
      <c r="BQ129" s="250"/>
      <c r="BR129" s="250"/>
      <c r="BS129" s="250"/>
      <c r="BT129" s="250"/>
      <c r="BU129" s="250"/>
      <c r="BV129" s="250"/>
      <c r="BW129" s="250"/>
      <c r="BX129" s="250"/>
      <c r="BY129" s="250"/>
      <c r="BZ129" s="250"/>
      <c r="CA129" s="250"/>
      <c r="CB129" s="250"/>
      <c r="CC129" s="250"/>
      <c r="CD129" s="250"/>
      <c r="CE129" s="250"/>
      <c r="CF129" s="250"/>
      <c r="CG129" s="250"/>
      <c r="CH129" s="281"/>
      <c r="CI129" s="281"/>
      <c r="CJ129" s="281"/>
      <c r="CK129" s="281"/>
      <c r="CL129" s="281"/>
      <c r="CM129" s="250"/>
      <c r="CN129" s="250"/>
      <c r="CO129" s="250"/>
      <c r="CP129" s="250"/>
      <c r="CQ129" s="250"/>
      <c r="CR129" s="250"/>
      <c r="CS129" s="250"/>
      <c r="CT129" s="250"/>
      <c r="CU129" s="250"/>
      <c r="CV129" s="250"/>
      <c r="CW129" s="250"/>
      <c r="CX129" s="250"/>
      <c r="CY129" s="250"/>
      <c r="CZ129" s="250"/>
      <c r="DA129" s="281"/>
    </row>
    <row r="130" spans="1:105" s="177" customFormat="1" ht="19" hidden="1" thickBot="1" x14ac:dyDescent="0.4">
      <c r="A130" s="355"/>
      <c r="B130" s="246"/>
      <c r="C130" s="246"/>
      <c r="D130" s="246"/>
      <c r="E130" s="369"/>
      <c r="F130" s="246"/>
      <c r="G130" s="246"/>
      <c r="H130" s="246"/>
      <c r="I130" s="246"/>
      <c r="J130" s="246"/>
      <c r="K130" s="246"/>
      <c r="L130" s="248"/>
      <c r="M130" s="276"/>
      <c r="N130" s="473"/>
      <c r="O130" s="473"/>
      <c r="P130" s="473"/>
      <c r="Q130" s="473"/>
      <c r="R130" s="473"/>
      <c r="S130" s="473"/>
      <c r="T130" s="473"/>
      <c r="U130" s="473"/>
      <c r="V130" s="473"/>
      <c r="W130" s="473"/>
      <c r="X130" s="473"/>
      <c r="Y130" s="518" t="s">
        <v>37</v>
      </c>
      <c r="Z130" s="518"/>
      <c r="AA130" s="518"/>
      <c r="AB130" s="375">
        <v>13</v>
      </c>
      <c r="AC130" s="256"/>
      <c r="AD130" s="364" t="s">
        <v>68</v>
      </c>
      <c r="AE130" s="764"/>
      <c r="AF130" s="764"/>
      <c r="AG130" s="764"/>
      <c r="AH130" s="764"/>
      <c r="AI130" s="764"/>
      <c r="AJ130" s="764"/>
      <c r="AK130" s="764"/>
      <c r="AL130" s="764"/>
      <c r="AM130" s="367"/>
      <c r="AN130" s="367"/>
      <c r="AO130" s="367"/>
      <c r="AP130" s="367"/>
      <c r="AQ130" s="367"/>
      <c r="AR130" s="367"/>
      <c r="AS130" s="367"/>
      <c r="AT130" s="367"/>
      <c r="AU130" s="367"/>
      <c r="AV130" s="365">
        <v>0</v>
      </c>
      <c r="AW130" s="258"/>
      <c r="AX130" s="364" t="s">
        <v>52</v>
      </c>
      <c r="AY130" s="258"/>
      <c r="AZ130" s="365">
        <v>0</v>
      </c>
      <c r="BB130" s="281"/>
      <c r="BC130" s="281"/>
      <c r="BD130" s="281"/>
      <c r="BE130" s="281"/>
      <c r="BF130" s="281"/>
      <c r="BG130" s="281"/>
      <c r="BH130" s="281"/>
      <c r="BI130" s="281"/>
      <c r="BJ130" s="281"/>
      <c r="BK130" s="281"/>
      <c r="BL130" s="281"/>
      <c r="BM130" s="281"/>
      <c r="BN130" s="250"/>
      <c r="BO130" s="250"/>
      <c r="BP130" s="250"/>
      <c r="BQ130" s="250"/>
      <c r="BR130" s="250"/>
      <c r="BS130" s="250"/>
      <c r="BT130" s="250"/>
      <c r="BU130" s="250"/>
      <c r="BV130" s="250"/>
      <c r="BW130" s="250"/>
      <c r="BX130" s="250"/>
      <c r="BY130" s="250"/>
      <c r="BZ130" s="250"/>
      <c r="CA130" s="250"/>
      <c r="CB130" s="250"/>
      <c r="CC130" s="250"/>
      <c r="CD130" s="250"/>
      <c r="CE130" s="250"/>
      <c r="CF130" s="250"/>
      <c r="CG130" s="250"/>
      <c r="CH130" s="281"/>
      <c r="CI130" s="281"/>
      <c r="CJ130" s="281"/>
      <c r="CK130" s="281"/>
      <c r="CL130" s="281"/>
      <c r="CM130" s="250"/>
      <c r="CN130" s="250"/>
      <c r="CO130" s="250"/>
      <c r="CP130" s="250"/>
      <c r="CQ130" s="250"/>
      <c r="CR130" s="250"/>
      <c r="CS130" s="250"/>
      <c r="CT130" s="250"/>
      <c r="CU130" s="250"/>
      <c r="CV130" s="250"/>
      <c r="CW130" s="250"/>
      <c r="CX130" s="250"/>
      <c r="CY130" s="250"/>
      <c r="CZ130" s="250"/>
      <c r="DA130" s="281"/>
    </row>
    <row r="131" spans="1:105" s="177" customFormat="1" ht="16" hidden="1" thickBot="1" x14ac:dyDescent="0.4">
      <c r="A131" s="371"/>
      <c r="B131" s="372"/>
      <c r="C131" s="372"/>
      <c r="D131" s="372"/>
      <c r="E131" s="372"/>
      <c r="F131" s="372"/>
      <c r="G131" s="372"/>
      <c r="H131" s="372"/>
      <c r="I131" s="372"/>
      <c r="J131" s="372"/>
      <c r="K131" s="372"/>
      <c r="L131" s="374"/>
      <c r="M131" s="276"/>
      <c r="N131" s="473"/>
      <c r="O131" s="473"/>
      <c r="P131" s="473"/>
      <c r="Q131" s="473"/>
      <c r="R131" s="473"/>
      <c r="S131" s="473"/>
      <c r="T131" s="473"/>
      <c r="U131" s="473"/>
      <c r="V131" s="473"/>
      <c r="W131" s="473"/>
      <c r="X131" s="473"/>
      <c r="Y131" s="518" t="s">
        <v>38</v>
      </c>
      <c r="Z131" s="518"/>
      <c r="AA131" s="518"/>
      <c r="AB131" s="365">
        <v>0</v>
      </c>
      <c r="AC131" s="256"/>
      <c r="AD131" s="364" t="s">
        <v>71</v>
      </c>
      <c r="AE131" s="764"/>
      <c r="AF131" s="764"/>
      <c r="AG131" s="764"/>
      <c r="AH131" s="764"/>
      <c r="AI131" s="764"/>
      <c r="AJ131" s="764"/>
      <c r="AK131" s="764"/>
      <c r="AL131" s="764"/>
      <c r="AM131" s="367"/>
      <c r="AN131" s="367"/>
      <c r="AO131" s="367"/>
      <c r="AP131" s="367"/>
      <c r="AQ131" s="367"/>
      <c r="AR131" s="367"/>
      <c r="AS131" s="367"/>
      <c r="AT131" s="367"/>
      <c r="AU131" s="367"/>
      <c r="AV131" s="365">
        <f>'Home Loan - MDIR'!AX1*200</f>
        <v>200</v>
      </c>
      <c r="AW131" s="258"/>
      <c r="AX131" s="364" t="s">
        <v>53</v>
      </c>
      <c r="AY131" s="258"/>
      <c r="AZ131" s="365">
        <v>0</v>
      </c>
      <c r="BB131" s="281"/>
      <c r="BC131" s="281"/>
      <c r="BD131" s="281"/>
      <c r="BE131" s="281"/>
      <c r="BF131" s="281"/>
      <c r="BG131" s="281"/>
      <c r="BH131" s="281"/>
      <c r="BI131" s="281"/>
      <c r="BJ131" s="281"/>
      <c r="BK131" s="281"/>
      <c r="BL131" s="281"/>
      <c r="BM131" s="281"/>
      <c r="BN131" s="250"/>
      <c r="BO131" s="250"/>
      <c r="BP131" s="250"/>
      <c r="BQ131" s="250"/>
      <c r="BR131" s="250"/>
      <c r="BS131" s="250"/>
      <c r="BT131" s="250"/>
      <c r="BU131" s="250"/>
      <c r="BV131" s="250"/>
      <c r="BW131" s="250"/>
      <c r="BX131" s="250"/>
      <c r="BY131" s="250"/>
      <c r="BZ131" s="250"/>
      <c r="CA131" s="250"/>
      <c r="CB131" s="250"/>
      <c r="CC131" s="250"/>
      <c r="CD131" s="250"/>
      <c r="CE131" s="250"/>
      <c r="CF131" s="250"/>
      <c r="CG131" s="250"/>
      <c r="CH131" s="281"/>
      <c r="CI131" s="281"/>
      <c r="CJ131" s="281"/>
      <c r="CK131" s="281"/>
      <c r="CL131" s="281"/>
      <c r="CM131" s="250"/>
      <c r="CN131" s="250"/>
      <c r="CO131" s="250"/>
      <c r="CP131" s="250"/>
      <c r="CQ131" s="250"/>
      <c r="CR131" s="250"/>
      <c r="CS131" s="250"/>
      <c r="CT131" s="250"/>
      <c r="CU131" s="250"/>
      <c r="CV131" s="250"/>
      <c r="CW131" s="250"/>
      <c r="CX131" s="250"/>
      <c r="CY131" s="250"/>
      <c r="CZ131" s="250"/>
      <c r="DA131" s="281"/>
    </row>
    <row r="132" spans="1:105" s="177" customFormat="1" ht="16" hidden="1" thickBot="1" x14ac:dyDescent="0.4">
      <c r="A132" s="238"/>
      <c r="B132" s="239"/>
      <c r="C132" s="239"/>
      <c r="D132" s="239"/>
      <c r="E132" s="239"/>
      <c r="F132" s="239"/>
      <c r="G132" s="239"/>
      <c r="H132" s="239"/>
      <c r="I132" s="239"/>
      <c r="J132" s="239"/>
      <c r="K132" s="239"/>
      <c r="L132" s="240"/>
      <c r="M132" s="276"/>
      <c r="N132" s="473"/>
      <c r="O132" s="473"/>
      <c r="P132" s="473"/>
      <c r="Q132" s="473"/>
      <c r="R132" s="473"/>
      <c r="S132" s="473"/>
      <c r="T132" s="473"/>
      <c r="U132" s="473"/>
      <c r="V132" s="473"/>
      <c r="W132" s="473"/>
      <c r="X132" s="473"/>
      <c r="Y132" s="518" t="s">
        <v>39</v>
      </c>
      <c r="Z132" s="518"/>
      <c r="AA132" s="518"/>
      <c r="AB132" s="375">
        <v>8</v>
      </c>
      <c r="AC132" s="256"/>
      <c r="AD132" s="364" t="s">
        <v>66</v>
      </c>
      <c r="AE132" s="764"/>
      <c r="AF132" s="764"/>
      <c r="AG132" s="764"/>
      <c r="AH132" s="764"/>
      <c r="AI132" s="764"/>
      <c r="AJ132" s="764"/>
      <c r="AK132" s="764"/>
      <c r="AL132" s="764"/>
      <c r="AM132" s="367"/>
      <c r="AN132" s="367"/>
      <c r="AO132" s="367"/>
      <c r="AP132" s="367"/>
      <c r="AQ132" s="367"/>
      <c r="AR132" s="367"/>
      <c r="AS132" s="367"/>
      <c r="AT132" s="367"/>
      <c r="AU132" s="367"/>
      <c r="AV132" s="365">
        <v>50</v>
      </c>
      <c r="AW132" s="258"/>
      <c r="AX132" s="364" t="s">
        <v>54</v>
      </c>
      <c r="AY132" s="258"/>
      <c r="AZ132" s="365">
        <v>0</v>
      </c>
      <c r="BB132" s="281"/>
      <c r="BC132" s="281"/>
      <c r="BD132" s="281"/>
      <c r="BE132" s="281"/>
      <c r="BF132" s="281"/>
      <c r="BG132" s="281"/>
      <c r="BH132" s="281"/>
      <c r="BI132" s="281"/>
      <c r="BJ132" s="281"/>
      <c r="BK132" s="281"/>
      <c r="BL132" s="281"/>
      <c r="BM132" s="281"/>
      <c r="BN132" s="250"/>
      <c r="BO132" s="250"/>
      <c r="BP132" s="250"/>
      <c r="BQ132" s="250"/>
      <c r="BR132" s="250"/>
      <c r="BS132" s="250"/>
      <c r="BT132" s="250"/>
      <c r="BU132" s="250"/>
      <c r="BV132" s="250"/>
      <c r="BW132" s="250"/>
      <c r="BX132" s="250"/>
      <c r="BY132" s="250"/>
      <c r="BZ132" s="250"/>
      <c r="CA132" s="250"/>
      <c r="CB132" s="250"/>
      <c r="CC132" s="250"/>
      <c r="CD132" s="250"/>
      <c r="CE132" s="250"/>
      <c r="CF132" s="250"/>
      <c r="CG132" s="250"/>
      <c r="CH132" s="281"/>
      <c r="CI132" s="281"/>
      <c r="CJ132" s="281"/>
      <c r="CK132" s="281"/>
      <c r="CL132" s="281"/>
      <c r="CM132" s="250"/>
      <c r="CN132" s="250"/>
      <c r="CO132" s="250"/>
      <c r="CP132" s="250"/>
      <c r="CQ132" s="250"/>
      <c r="CR132" s="250"/>
      <c r="CS132" s="250"/>
      <c r="CT132" s="250"/>
      <c r="CU132" s="250"/>
      <c r="CV132" s="250"/>
      <c r="CW132" s="250"/>
      <c r="CX132" s="250"/>
      <c r="CY132" s="250"/>
      <c r="CZ132" s="250"/>
      <c r="DA132" s="281"/>
    </row>
    <row r="133" spans="1:105" s="177" customFormat="1" ht="19" thickBot="1" x14ac:dyDescent="0.4">
      <c r="A133" s="994"/>
      <c r="B133" s="995"/>
      <c r="C133" s="995"/>
      <c r="D133" s="995"/>
      <c r="E133" s="995"/>
      <c r="F133" s="995"/>
      <c r="G133" s="995"/>
      <c r="H133" s="995"/>
      <c r="I133" s="995"/>
      <c r="J133" s="995"/>
      <c r="K133" s="995"/>
      <c r="L133" s="996"/>
      <c r="M133" s="276"/>
      <c r="N133" s="473"/>
      <c r="O133" s="473"/>
      <c r="P133" s="473"/>
      <c r="Q133" s="473"/>
      <c r="R133" s="473"/>
      <c r="S133" s="473"/>
      <c r="T133" s="473"/>
      <c r="U133" s="473"/>
      <c r="V133" s="473"/>
      <c r="W133" s="473"/>
      <c r="X133" s="473"/>
      <c r="Y133" s="518" t="s">
        <v>40</v>
      </c>
      <c r="Z133" s="518"/>
      <c r="AA133" s="518"/>
      <c r="AB133" s="375">
        <v>0</v>
      </c>
      <c r="AC133" s="256"/>
      <c r="AD133" s="376" t="s">
        <v>26</v>
      </c>
      <c r="AE133" s="764"/>
      <c r="AF133" s="764"/>
      <c r="AG133" s="764"/>
      <c r="AH133" s="764"/>
      <c r="AI133" s="764"/>
      <c r="AJ133" s="764"/>
      <c r="AK133" s="764"/>
      <c r="AL133" s="764"/>
      <c r="AM133" s="367"/>
      <c r="AN133" s="367"/>
      <c r="AO133" s="367"/>
      <c r="AP133" s="367"/>
      <c r="AQ133" s="367"/>
      <c r="AR133" s="367"/>
      <c r="AS133" s="367"/>
      <c r="AT133" s="367"/>
      <c r="AU133" s="367"/>
      <c r="AV133" s="365">
        <v>0</v>
      </c>
      <c r="AW133" s="258"/>
      <c r="AX133" s="364" t="s">
        <v>66</v>
      </c>
      <c r="AY133" s="367"/>
      <c r="AZ133" s="375">
        <v>0</v>
      </c>
      <c r="BB133" s="281"/>
      <c r="BC133" s="281"/>
      <c r="BD133" s="281"/>
      <c r="BE133" s="281"/>
      <c r="BF133" s="281"/>
      <c r="BG133" s="281"/>
      <c r="BH133" s="281"/>
      <c r="BI133" s="281"/>
      <c r="BJ133" s="281"/>
      <c r="BK133" s="281"/>
      <c r="BL133" s="281"/>
      <c r="BM133" s="281"/>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81"/>
      <c r="CI133" s="281"/>
      <c r="CJ133" s="281"/>
      <c r="CK133" s="281"/>
      <c r="CL133" s="281"/>
      <c r="CM133" s="250"/>
      <c r="CN133" s="250"/>
      <c r="CO133" s="250"/>
      <c r="CP133" s="250"/>
      <c r="CQ133" s="250"/>
      <c r="CR133" s="250"/>
      <c r="CS133" s="250"/>
      <c r="CT133" s="250"/>
      <c r="CU133" s="250"/>
      <c r="CV133" s="250"/>
      <c r="CW133" s="250"/>
      <c r="CX133" s="250"/>
      <c r="CY133" s="250"/>
      <c r="CZ133" s="250"/>
      <c r="DA133" s="281"/>
    </row>
    <row r="134" spans="1:105" s="177" customFormat="1" ht="12.75" customHeight="1" thickBot="1" x14ac:dyDescent="0.4">
      <c r="A134" s="242"/>
      <c r="B134" s="243"/>
      <c r="C134" s="243"/>
      <c r="D134" s="243"/>
      <c r="E134" s="243"/>
      <c r="F134" s="243"/>
      <c r="G134" s="243"/>
      <c r="H134" s="243"/>
      <c r="I134" s="377"/>
      <c r="J134" s="243"/>
      <c r="K134" s="377"/>
      <c r="L134" s="244"/>
      <c r="M134" s="276"/>
      <c r="N134" s="473"/>
      <c r="O134" s="473"/>
      <c r="P134" s="473"/>
      <c r="Q134" s="473"/>
      <c r="R134" s="473"/>
      <c r="S134" s="473"/>
      <c r="T134" s="473"/>
      <c r="U134" s="473"/>
      <c r="V134" s="473"/>
      <c r="W134" s="473"/>
      <c r="X134" s="473"/>
      <c r="Y134" s="518" t="s">
        <v>41</v>
      </c>
      <c r="Z134" s="518"/>
      <c r="AA134" s="518"/>
      <c r="AB134" s="378">
        <f>SUM(AB124:AB133)</f>
        <v>121</v>
      </c>
      <c r="AC134" s="256"/>
      <c r="AD134" s="379"/>
      <c r="AE134" s="764"/>
      <c r="AF134" s="764"/>
      <c r="AG134" s="764"/>
      <c r="AH134" s="764"/>
      <c r="AI134" s="764"/>
      <c r="AJ134" s="764"/>
      <c r="AK134" s="764"/>
      <c r="AL134" s="764"/>
      <c r="AM134" s="367"/>
      <c r="AN134" s="367"/>
      <c r="AO134" s="367"/>
      <c r="AP134" s="367"/>
      <c r="AQ134" s="367"/>
      <c r="AR134" s="367"/>
      <c r="AS134" s="367"/>
      <c r="AT134" s="367"/>
      <c r="AU134" s="367"/>
      <c r="AV134" s="365">
        <v>0</v>
      </c>
      <c r="AW134" s="258"/>
      <c r="AX134" s="965" t="s">
        <v>26</v>
      </c>
      <c r="AY134" s="966"/>
      <c r="AZ134" s="378">
        <f>SUM(AZ128:AZ133)</f>
        <v>0</v>
      </c>
      <c r="BB134" s="281"/>
      <c r="BC134" s="281"/>
      <c r="BD134" s="281"/>
      <c r="BE134" s="281"/>
      <c r="BF134" s="281"/>
      <c r="BG134" s="281"/>
      <c r="BH134" s="281"/>
      <c r="BI134" s="281"/>
      <c r="BJ134" s="281"/>
      <c r="BK134" s="281"/>
      <c r="BL134" s="281"/>
      <c r="BM134" s="281"/>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81"/>
      <c r="CI134" s="281"/>
      <c r="CJ134" s="281"/>
      <c r="CK134" s="281"/>
      <c r="CL134" s="281"/>
      <c r="CM134" s="250"/>
      <c r="CN134" s="250"/>
      <c r="CO134" s="250"/>
      <c r="CP134" s="250"/>
      <c r="CQ134" s="250"/>
      <c r="CR134" s="250"/>
      <c r="CS134" s="250"/>
      <c r="CT134" s="250"/>
      <c r="CU134" s="250"/>
      <c r="CV134" s="250"/>
      <c r="CW134" s="250"/>
      <c r="CX134" s="250"/>
      <c r="CY134" s="250"/>
      <c r="CZ134" s="250"/>
      <c r="DA134" s="281"/>
    </row>
    <row r="135" spans="1:105" s="177" customFormat="1" ht="21.5" hidden="1" thickBot="1" x14ac:dyDescent="0.4">
      <c r="A135" s="967" t="s">
        <v>349</v>
      </c>
      <c r="B135" s="968"/>
      <c r="C135" s="968"/>
      <c r="D135" s="564"/>
      <c r="E135" s="380">
        <f>K119</f>
        <v>0</v>
      </c>
      <c r="F135" s="269"/>
      <c r="G135" s="381"/>
      <c r="H135" s="381"/>
      <c r="I135" s="382"/>
      <c r="J135" s="246"/>
      <c r="K135" s="269"/>
      <c r="L135" s="272"/>
      <c r="M135" s="276"/>
      <c r="N135" s="473"/>
      <c r="O135" s="473"/>
      <c r="P135" s="473"/>
      <c r="Q135" s="473"/>
      <c r="R135" s="473"/>
      <c r="S135" s="473"/>
      <c r="T135" s="473"/>
      <c r="U135" s="473"/>
      <c r="V135" s="473"/>
      <c r="W135" s="473"/>
      <c r="X135" s="473"/>
      <c r="Y135" s="518" t="s">
        <v>73</v>
      </c>
      <c r="Z135" s="519"/>
      <c r="AA135" s="519"/>
      <c r="AB135" s="368"/>
      <c r="AC135" s="258"/>
      <c r="AD135" s="379"/>
      <c r="AE135" s="764"/>
      <c r="AF135" s="764"/>
      <c r="AG135" s="764"/>
      <c r="AH135" s="764"/>
      <c r="AI135" s="764"/>
      <c r="AJ135" s="764"/>
      <c r="AK135" s="764"/>
      <c r="AL135" s="764"/>
      <c r="AM135" s="367"/>
      <c r="AN135" s="367"/>
      <c r="AO135" s="367"/>
      <c r="AP135" s="367"/>
      <c r="AQ135" s="367"/>
      <c r="AR135" s="367"/>
      <c r="AS135" s="367"/>
      <c r="AT135" s="367"/>
      <c r="AU135" s="367"/>
      <c r="AV135" s="365">
        <v>0</v>
      </c>
      <c r="AW135" s="258"/>
      <c r="AX135" s="258"/>
      <c r="AY135" s="258"/>
      <c r="AZ135" s="258"/>
      <c r="BB135" s="281"/>
      <c r="BC135" s="281"/>
      <c r="BD135" s="281"/>
      <c r="BE135" s="281"/>
      <c r="BF135" s="281"/>
      <c r="BG135" s="281"/>
      <c r="BH135" s="281"/>
      <c r="BI135" s="281"/>
      <c r="BJ135" s="281"/>
      <c r="BK135" s="281"/>
      <c r="BL135" s="281"/>
      <c r="BM135" s="281"/>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81"/>
      <c r="CI135" s="281"/>
      <c r="CJ135" s="281"/>
      <c r="CK135" s="281"/>
      <c r="CL135" s="281"/>
      <c r="CM135" s="250"/>
      <c r="CN135" s="250"/>
      <c r="CO135" s="250"/>
      <c r="CP135" s="250"/>
      <c r="CQ135" s="250"/>
      <c r="CR135" s="250"/>
      <c r="CS135" s="250"/>
      <c r="CT135" s="250"/>
      <c r="CU135" s="250"/>
      <c r="CV135" s="250"/>
      <c r="CW135" s="250"/>
      <c r="CX135" s="250"/>
      <c r="CY135" s="250"/>
      <c r="CZ135" s="250"/>
      <c r="DA135" s="281"/>
    </row>
    <row r="136" spans="1:105" s="177" customFormat="1" ht="27" customHeight="1" thickBot="1" x14ac:dyDescent="0.4">
      <c r="A136" s="785"/>
      <c r="B136" s="968" t="s">
        <v>564</v>
      </c>
      <c r="C136" s="1017"/>
      <c r="D136" s="786"/>
      <c r="E136" s="806" t="e">
        <f>SUM(E28+K28)/SUM(E63+K63)</f>
        <v>#DIV/0!</v>
      </c>
      <c r="F136" s="792" t="s">
        <v>389</v>
      </c>
      <c r="G136" s="381"/>
      <c r="H136" s="381"/>
      <c r="I136" s="382"/>
      <c r="J136" s="246"/>
      <c r="K136" s="269"/>
      <c r="L136" s="272"/>
      <c r="M136" s="791"/>
      <c r="N136" s="473"/>
      <c r="O136" s="473"/>
      <c r="P136" s="473"/>
      <c r="Q136" s="473"/>
      <c r="R136" s="473"/>
      <c r="S136" s="473"/>
      <c r="T136" s="473"/>
      <c r="U136" s="473"/>
      <c r="V136" s="473"/>
      <c r="W136" s="473"/>
      <c r="X136" s="473"/>
      <c r="Y136" s="518"/>
      <c r="Z136" s="519"/>
      <c r="AA136" s="519"/>
      <c r="AB136" s="368"/>
      <c r="AC136" s="258"/>
      <c r="AD136" s="379"/>
      <c r="AE136" s="764"/>
      <c r="AF136" s="764"/>
      <c r="AG136" s="764"/>
      <c r="AH136" s="764"/>
      <c r="AI136" s="764"/>
      <c r="AJ136" s="764"/>
      <c r="AK136" s="764"/>
      <c r="AL136" s="764"/>
      <c r="AM136" s="367"/>
      <c r="AN136" s="367"/>
      <c r="AO136" s="367"/>
      <c r="AP136" s="367"/>
      <c r="AQ136" s="367"/>
      <c r="AR136" s="367"/>
      <c r="AS136" s="367"/>
      <c r="AT136" s="367"/>
      <c r="AU136" s="367"/>
      <c r="AV136" s="365"/>
      <c r="AW136" s="258"/>
      <c r="AX136" s="258"/>
      <c r="AY136" s="258"/>
      <c r="AZ136" s="258"/>
      <c r="BB136" s="281"/>
      <c r="BC136" s="281"/>
      <c r="BD136" s="281"/>
      <c r="BE136" s="281"/>
      <c r="BF136" s="281"/>
      <c r="BG136" s="281"/>
      <c r="BH136" s="281"/>
      <c r="BI136" s="281"/>
      <c r="BJ136" s="281"/>
      <c r="BK136" s="281"/>
      <c r="BL136" s="281"/>
      <c r="BM136" s="281"/>
      <c r="BN136" s="250"/>
      <c r="BO136" s="250"/>
      <c r="BP136" s="250"/>
      <c r="BQ136" s="250"/>
      <c r="BR136" s="250"/>
      <c r="BS136" s="250"/>
      <c r="BT136" s="250"/>
      <c r="BU136" s="250"/>
      <c r="BV136" s="250"/>
      <c r="BW136" s="250"/>
      <c r="BX136" s="250"/>
      <c r="BY136" s="250"/>
      <c r="BZ136" s="250"/>
      <c r="CA136" s="250"/>
      <c r="CB136" s="250"/>
      <c r="CC136" s="250"/>
      <c r="CD136" s="250"/>
      <c r="CE136" s="250"/>
      <c r="CF136" s="250"/>
      <c r="CG136" s="250"/>
      <c r="CH136" s="281"/>
      <c r="CI136" s="281"/>
      <c r="CJ136" s="281"/>
      <c r="CK136" s="281"/>
      <c r="CL136" s="281"/>
      <c r="CM136" s="250"/>
      <c r="CN136" s="250"/>
      <c r="CO136" s="250"/>
      <c r="CP136" s="250"/>
      <c r="CQ136" s="250"/>
      <c r="CR136" s="250"/>
      <c r="CS136" s="250"/>
      <c r="CT136" s="250"/>
      <c r="CU136" s="250"/>
      <c r="CV136" s="250"/>
      <c r="CW136" s="250"/>
      <c r="CX136" s="250"/>
      <c r="CY136" s="250"/>
      <c r="CZ136" s="250"/>
      <c r="DA136" s="281"/>
    </row>
    <row r="137" spans="1:105" s="177" customFormat="1" ht="25.5" customHeight="1" thickBot="1" x14ac:dyDescent="0.4">
      <c r="A137" s="282"/>
      <c r="B137" s="269"/>
      <c r="C137" s="269"/>
      <c r="D137" s="269"/>
      <c r="E137" s="938" t="e">
        <f>IF(E136&gt;3.5,"Exceeds LTI Ratio      -      Exceeds Limit by","")</f>
        <v>#DIV/0!</v>
      </c>
      <c r="F137" s="939"/>
      <c r="G137" s="807" t="str">
        <f>IF(U32&gt;0,U32,"")</f>
        <v/>
      </c>
      <c r="H137" s="383"/>
      <c r="I137" s="384"/>
      <c r="J137" s="269"/>
      <c r="K137" s="271"/>
      <c r="L137" s="272"/>
      <c r="M137" s="276"/>
      <c r="N137" s="473"/>
      <c r="O137" s="473"/>
      <c r="P137" s="473"/>
      <c r="Q137" s="473"/>
      <c r="R137" s="473"/>
      <c r="S137" s="473"/>
      <c r="T137" s="473"/>
      <c r="U137" s="473"/>
      <c r="V137" s="473"/>
      <c r="W137" s="473"/>
      <c r="X137" s="473"/>
      <c r="Y137" s="518" t="s">
        <v>34</v>
      </c>
      <c r="Z137" s="519"/>
      <c r="AA137" s="519"/>
      <c r="AB137" s="360"/>
      <c r="AC137" s="256"/>
      <c r="AD137" s="361" t="s">
        <v>70</v>
      </c>
      <c r="AE137" s="764"/>
      <c r="AF137" s="764"/>
      <c r="AG137" s="764"/>
      <c r="AH137" s="764"/>
      <c r="AI137" s="764"/>
      <c r="AJ137" s="764"/>
      <c r="AK137" s="764"/>
      <c r="AL137" s="764"/>
      <c r="AM137" s="367"/>
      <c r="AN137" s="367"/>
      <c r="AO137" s="367"/>
      <c r="AP137" s="367"/>
      <c r="AQ137" s="367"/>
      <c r="AR137" s="367"/>
      <c r="AS137" s="367"/>
      <c r="AT137" s="367"/>
      <c r="AU137" s="367"/>
      <c r="AV137" s="365">
        <v>0</v>
      </c>
      <c r="AW137" s="258"/>
      <c r="AX137" s="258"/>
      <c r="AY137" s="258"/>
      <c r="AZ137" s="258"/>
      <c r="BB137" s="281"/>
      <c r="BC137" s="281"/>
      <c r="BD137" s="281"/>
      <c r="BE137" s="281"/>
      <c r="BF137" s="281"/>
      <c r="BG137" s="281"/>
      <c r="BH137" s="281"/>
      <c r="BI137" s="281"/>
      <c r="BJ137" s="281"/>
      <c r="BK137" s="281"/>
      <c r="BL137" s="281"/>
      <c r="BM137" s="281"/>
      <c r="BN137" s="250"/>
      <c r="BO137" s="250"/>
      <c r="BP137" s="250"/>
      <c r="BQ137" s="250"/>
      <c r="BR137" s="250"/>
      <c r="BS137" s="250"/>
      <c r="BT137" s="250"/>
      <c r="BU137" s="250"/>
      <c r="BV137" s="250"/>
      <c r="BW137" s="250"/>
      <c r="BX137" s="250"/>
      <c r="BY137" s="250"/>
      <c r="BZ137" s="250"/>
      <c r="CA137" s="250"/>
      <c r="CB137" s="250"/>
      <c r="CC137" s="250"/>
      <c r="CD137" s="250"/>
      <c r="CE137" s="250"/>
      <c r="CF137" s="250"/>
      <c r="CG137" s="250"/>
      <c r="CH137" s="281"/>
      <c r="CI137" s="281"/>
      <c r="CJ137" s="281"/>
      <c r="CK137" s="281"/>
      <c r="CL137" s="281"/>
      <c r="CM137" s="250"/>
      <c r="CN137" s="250"/>
      <c r="CO137" s="250"/>
      <c r="CP137" s="250"/>
      <c r="CQ137" s="250"/>
      <c r="CR137" s="250"/>
      <c r="CS137" s="250"/>
      <c r="CT137" s="250"/>
      <c r="CU137" s="250"/>
      <c r="CV137" s="250"/>
      <c r="CW137" s="250"/>
      <c r="CX137" s="250"/>
      <c r="CY137" s="250"/>
      <c r="CZ137" s="250"/>
      <c r="DA137" s="281"/>
    </row>
    <row r="138" spans="1:105" s="177" customFormat="1" ht="19" thickBot="1" x14ac:dyDescent="0.4">
      <c r="A138" s="385"/>
      <c r="B138" s="269"/>
      <c r="C138" s="246"/>
      <c r="D138" s="246"/>
      <c r="E138" s="386" t="s">
        <v>132</v>
      </c>
      <c r="F138" s="383"/>
      <c r="G138" s="387" t="s">
        <v>133</v>
      </c>
      <c r="H138" s="388"/>
      <c r="I138" s="386" t="s">
        <v>138</v>
      </c>
      <c r="J138" s="269"/>
      <c r="K138" s="389" t="s">
        <v>112</v>
      </c>
      <c r="L138" s="272"/>
      <c r="M138" s="276"/>
      <c r="N138" s="473"/>
      <c r="O138" s="473"/>
      <c r="P138" s="473"/>
      <c r="Q138" s="473"/>
      <c r="R138" s="473"/>
      <c r="S138" s="473"/>
      <c r="T138" s="473"/>
      <c r="U138" s="473"/>
      <c r="V138" s="473"/>
      <c r="W138" s="473"/>
      <c r="X138" s="473"/>
      <c r="Y138" s="518" t="s">
        <v>62</v>
      </c>
      <c r="Z138" s="519"/>
      <c r="AA138" s="519"/>
      <c r="AB138" s="368"/>
      <c r="AC138" s="192"/>
      <c r="AD138" s="362"/>
      <c r="AE138" s="765"/>
      <c r="AF138" s="765"/>
      <c r="AG138" s="765"/>
      <c r="AH138" s="765"/>
      <c r="AI138" s="765"/>
      <c r="AJ138" s="765"/>
      <c r="AK138" s="765"/>
      <c r="AL138" s="765"/>
      <c r="AM138" s="390"/>
      <c r="AN138" s="390"/>
      <c r="AO138" s="390"/>
      <c r="AP138" s="390"/>
      <c r="AQ138" s="390"/>
      <c r="AR138" s="390"/>
      <c r="AS138" s="390"/>
      <c r="AT138" s="390"/>
      <c r="AU138" s="390"/>
      <c r="AV138" s="378">
        <f>SUM(AV128:AV137)</f>
        <v>250</v>
      </c>
      <c r="AW138" s="258"/>
      <c r="AX138" s="258"/>
      <c r="AY138" s="258"/>
      <c r="AZ138" s="258"/>
      <c r="BB138" s="281"/>
      <c r="BC138" s="281"/>
      <c r="BD138" s="281"/>
      <c r="BE138" s="281"/>
      <c r="BF138" s="281"/>
      <c r="BG138" s="281"/>
      <c r="BH138" s="281"/>
      <c r="BI138" s="281"/>
      <c r="BJ138" s="281"/>
      <c r="BK138" s="281"/>
      <c r="BL138" s="281"/>
      <c r="BM138" s="281"/>
      <c r="BN138" s="250"/>
      <c r="BO138" s="250"/>
      <c r="BP138" s="250"/>
      <c r="BQ138" s="250"/>
      <c r="BR138" s="250"/>
      <c r="BS138" s="250"/>
      <c r="BT138" s="250"/>
      <c r="BU138" s="250"/>
      <c r="BV138" s="250"/>
      <c r="BW138" s="250"/>
      <c r="BX138" s="250"/>
      <c r="BY138" s="250"/>
      <c r="BZ138" s="250"/>
      <c r="CA138" s="250"/>
      <c r="CB138" s="250"/>
      <c r="CC138" s="250"/>
      <c r="CD138" s="250"/>
      <c r="CE138" s="250"/>
      <c r="CF138" s="250"/>
      <c r="CG138" s="250"/>
      <c r="CH138" s="281"/>
      <c r="CI138" s="281"/>
      <c r="CJ138" s="281"/>
      <c r="CK138" s="281"/>
      <c r="CL138" s="281"/>
      <c r="CM138" s="250"/>
      <c r="CN138" s="250"/>
      <c r="CO138" s="250"/>
      <c r="CP138" s="250"/>
      <c r="CQ138" s="250"/>
      <c r="CR138" s="250"/>
      <c r="CS138" s="250"/>
      <c r="CT138" s="250"/>
      <c r="CU138" s="250"/>
      <c r="CV138" s="250"/>
      <c r="CW138" s="250"/>
      <c r="CX138" s="250"/>
      <c r="CY138" s="250"/>
      <c r="CZ138" s="250"/>
      <c r="DA138" s="281"/>
    </row>
    <row r="139" spans="1:105" s="177" customFormat="1" ht="12.75" customHeight="1" thickBot="1" x14ac:dyDescent="0.6">
      <c r="A139" s="359"/>
      <c r="B139" s="269"/>
      <c r="C139" s="246"/>
      <c r="D139" s="246"/>
      <c r="E139" s="269"/>
      <c r="F139" s="269"/>
      <c r="G139" s="391"/>
      <c r="H139" s="392"/>
      <c r="I139" s="269"/>
      <c r="J139" s="269"/>
      <c r="K139" s="393"/>
      <c r="L139" s="272"/>
      <c r="M139" s="276"/>
      <c r="N139" s="473"/>
      <c r="O139" s="473"/>
      <c r="P139" s="473"/>
      <c r="Q139" s="473"/>
      <c r="R139" s="473"/>
      <c r="S139" s="473"/>
      <c r="T139" s="473"/>
      <c r="U139" s="473"/>
      <c r="V139" s="473"/>
      <c r="W139" s="473"/>
      <c r="X139" s="473"/>
      <c r="Y139" s="520" t="s">
        <v>26</v>
      </c>
      <c r="Z139" s="520"/>
      <c r="AA139" s="520"/>
      <c r="AB139" s="363">
        <v>0</v>
      </c>
      <c r="AC139" s="258"/>
      <c r="AD139" s="364" t="s">
        <v>55</v>
      </c>
      <c r="AE139" s="764"/>
      <c r="AF139" s="764"/>
      <c r="AG139" s="764"/>
      <c r="AH139" s="764"/>
      <c r="AI139" s="764"/>
      <c r="AJ139" s="764"/>
      <c r="AK139" s="764"/>
      <c r="AL139" s="764"/>
      <c r="AM139" s="367"/>
      <c r="AN139" s="367"/>
      <c r="AO139" s="367"/>
      <c r="AP139" s="367"/>
      <c r="AQ139" s="367"/>
      <c r="AR139" s="367"/>
      <c r="AS139" s="367"/>
      <c r="AT139" s="367"/>
      <c r="AU139" s="367"/>
      <c r="AV139" s="192"/>
      <c r="AW139" s="258"/>
      <c r="AX139" s="258"/>
      <c r="AY139" s="258"/>
      <c r="AZ139" s="258"/>
      <c r="BB139" s="281"/>
      <c r="BC139" s="281"/>
      <c r="BD139" s="281"/>
      <c r="BE139" s="281"/>
      <c r="BF139" s="281"/>
      <c r="BG139" s="281"/>
      <c r="BH139" s="281"/>
      <c r="BI139" s="281"/>
      <c r="BJ139" s="281"/>
      <c r="BK139" s="281"/>
      <c r="BL139" s="281"/>
      <c r="BM139" s="281"/>
      <c r="BN139" s="250"/>
      <c r="BO139" s="250"/>
      <c r="BP139" s="250"/>
      <c r="BQ139" s="250"/>
      <c r="BR139" s="250"/>
      <c r="BS139" s="250"/>
      <c r="BT139" s="250"/>
      <c r="BU139" s="250"/>
      <c r="BV139" s="250"/>
      <c r="BW139" s="250"/>
      <c r="BX139" s="250"/>
      <c r="BY139" s="250"/>
      <c r="BZ139" s="250"/>
      <c r="CA139" s="250"/>
      <c r="CB139" s="250"/>
      <c r="CC139" s="250"/>
      <c r="CD139" s="250"/>
      <c r="CE139" s="250"/>
      <c r="CF139" s="250"/>
      <c r="CG139" s="250"/>
      <c r="CH139" s="281"/>
      <c r="CI139" s="281"/>
      <c r="CJ139" s="281"/>
      <c r="CK139" s="281"/>
      <c r="CL139" s="281"/>
      <c r="CM139" s="250"/>
      <c r="CN139" s="250"/>
      <c r="CO139" s="250"/>
      <c r="CP139" s="250"/>
      <c r="CQ139" s="250"/>
      <c r="CR139" s="250"/>
      <c r="CS139" s="250"/>
      <c r="CT139" s="250"/>
      <c r="CU139" s="250"/>
      <c r="CV139" s="250"/>
      <c r="CW139" s="250"/>
      <c r="CX139" s="250"/>
      <c r="CY139" s="250"/>
      <c r="CZ139" s="250"/>
      <c r="DA139" s="281"/>
    </row>
    <row r="140" spans="1:105" s="177" customFormat="1" ht="30.75" customHeight="1" thickBot="1" x14ac:dyDescent="0.5">
      <c r="A140" s="969" t="s">
        <v>134</v>
      </c>
      <c r="B140" s="970"/>
      <c r="C140" s="970"/>
      <c r="D140" s="565"/>
      <c r="E140" s="394">
        <f>IF(H36="Yes",K140, J140)</f>
        <v>0</v>
      </c>
      <c r="F140" s="395"/>
      <c r="G140" s="536">
        <f>IF(ISERROR(IF((K111+K38-I87)/K73&lt;0,0,(K111+K38-I87)/K73)),0,IF((K111+K38-I87)/K73&lt;0,0,(K111+K38-I87)/K73))</f>
        <v>0</v>
      </c>
      <c r="H140" s="396"/>
      <c r="I140" s="397" t="str">
        <f>IF(G140&gt;E140,"No","Yes")</f>
        <v>Yes</v>
      </c>
      <c r="J140" s="398">
        <f>IF(K73=0,0,K74)</f>
        <v>0</v>
      </c>
      <c r="K140" s="879">
        <f>J140+0.05</f>
        <v>0.05</v>
      </c>
      <c r="L140" s="111"/>
      <c r="M140" s="276"/>
      <c r="N140" s="473"/>
      <c r="O140" s="473"/>
      <c r="P140" s="473"/>
      <c r="Q140" s="473"/>
      <c r="R140" s="473"/>
      <c r="S140" s="473"/>
      <c r="T140" s="473"/>
      <c r="U140" s="473"/>
      <c r="V140" s="473"/>
      <c r="W140" s="473"/>
      <c r="X140" s="473"/>
      <c r="Y140" s="521"/>
      <c r="Z140" s="521"/>
      <c r="AA140" s="521"/>
      <c r="AB140" s="365">
        <v>0</v>
      </c>
      <c r="AC140" s="258"/>
      <c r="AD140" s="364" t="s">
        <v>56</v>
      </c>
      <c r="AE140" s="764"/>
      <c r="AF140" s="764"/>
      <c r="AG140" s="764"/>
      <c r="AH140" s="764"/>
      <c r="AI140" s="764"/>
      <c r="AJ140" s="764"/>
      <c r="AK140" s="764"/>
      <c r="AL140" s="764"/>
      <c r="AM140" s="367"/>
      <c r="AN140" s="367"/>
      <c r="AO140" s="367"/>
      <c r="AP140" s="367"/>
      <c r="AQ140" s="367"/>
      <c r="AR140" s="367"/>
      <c r="AS140" s="367"/>
      <c r="AT140" s="367"/>
      <c r="AU140" s="367"/>
      <c r="AV140" s="192"/>
      <c r="AW140" s="258"/>
      <c r="AX140" s="258"/>
      <c r="AY140" s="258"/>
      <c r="AZ140" s="258"/>
      <c r="BB140" s="281"/>
      <c r="BC140" s="281"/>
      <c r="BD140" s="281"/>
      <c r="BE140" s="281"/>
      <c r="BF140" s="281"/>
      <c r="BG140" s="281"/>
      <c r="BH140" s="281"/>
      <c r="BI140" s="281"/>
      <c r="BJ140" s="281"/>
      <c r="BK140" s="281"/>
      <c r="BL140" s="281"/>
      <c r="BM140" s="281"/>
      <c r="BN140" s="250"/>
      <c r="BO140" s="250"/>
      <c r="BP140" s="250"/>
      <c r="BQ140" s="250"/>
      <c r="BR140" s="250"/>
      <c r="BS140" s="250"/>
      <c r="BT140" s="250"/>
      <c r="BU140" s="250"/>
      <c r="BV140" s="250"/>
      <c r="BW140" s="250"/>
      <c r="BX140" s="250"/>
      <c r="BY140" s="250"/>
      <c r="BZ140" s="250"/>
      <c r="CA140" s="250"/>
      <c r="CB140" s="250"/>
      <c r="CC140" s="250"/>
      <c r="CD140" s="250"/>
      <c r="CE140" s="250"/>
      <c r="CF140" s="250"/>
      <c r="CG140" s="250"/>
      <c r="CH140" s="281"/>
      <c r="CI140" s="281"/>
      <c r="CJ140" s="281"/>
      <c r="CK140" s="281"/>
      <c r="CL140" s="281"/>
      <c r="CM140" s="250"/>
      <c r="CN140" s="250"/>
      <c r="CO140" s="250"/>
      <c r="CP140" s="250"/>
      <c r="CQ140" s="250"/>
      <c r="CR140" s="250"/>
      <c r="CS140" s="250"/>
      <c r="CT140" s="250"/>
      <c r="CU140" s="250"/>
      <c r="CV140" s="250"/>
      <c r="CW140" s="250"/>
      <c r="CX140" s="250"/>
      <c r="CY140" s="250"/>
      <c r="CZ140" s="250"/>
      <c r="DA140" s="281"/>
    </row>
    <row r="141" spans="1:105" s="177" customFormat="1" ht="24" hidden="1" thickBot="1" x14ac:dyDescent="0.6">
      <c r="A141" s="399"/>
      <c r="B141" s="395"/>
      <c r="C141" s="246"/>
      <c r="D141" s="246"/>
      <c r="E141" s="400"/>
      <c r="F141" s="395"/>
      <c r="G141" s="401"/>
      <c r="H141" s="246"/>
      <c r="I141" s="250"/>
      <c r="J141" s="402"/>
      <c r="K141" s="246"/>
      <c r="L141" s="248"/>
      <c r="M141" s="276"/>
      <c r="N141" s="473"/>
      <c r="O141" s="473"/>
      <c r="P141" s="473"/>
      <c r="Q141" s="473"/>
      <c r="R141" s="473"/>
      <c r="S141" s="473"/>
      <c r="T141" s="473"/>
      <c r="U141" s="473"/>
      <c r="V141" s="473"/>
      <c r="W141" s="473"/>
      <c r="X141" s="473"/>
      <c r="Y141" s="515" t="s">
        <v>58</v>
      </c>
      <c r="Z141" s="516"/>
      <c r="AA141" s="516"/>
      <c r="AB141" s="365">
        <v>0</v>
      </c>
      <c r="AC141" s="258"/>
      <c r="AD141" s="364" t="s">
        <v>57</v>
      </c>
      <c r="AE141" s="763"/>
      <c r="AF141" s="763"/>
      <c r="AG141" s="763"/>
      <c r="AH141" s="763"/>
      <c r="AI141" s="763"/>
      <c r="AJ141" s="763"/>
      <c r="AK141" s="763"/>
      <c r="AL141" s="763"/>
      <c r="AM141" s="366"/>
      <c r="AN141" s="366"/>
      <c r="AO141" s="366"/>
      <c r="AP141" s="366"/>
      <c r="AQ141" s="366"/>
      <c r="AR141" s="366"/>
      <c r="AS141" s="366"/>
      <c r="AT141" s="366"/>
      <c r="AU141" s="366"/>
      <c r="AV141" s="360"/>
      <c r="AW141" s="258"/>
      <c r="AX141" s="987" t="s">
        <v>64</v>
      </c>
      <c r="AY141" s="988"/>
      <c r="AZ141" s="989"/>
      <c r="BB141" s="281"/>
      <c r="BC141" s="281"/>
      <c r="BD141" s="281"/>
      <c r="BE141" s="281"/>
      <c r="BF141" s="281"/>
      <c r="BG141" s="281"/>
      <c r="BH141" s="281"/>
      <c r="BI141" s="281"/>
      <c r="BJ141" s="281"/>
      <c r="BK141" s="281"/>
      <c r="BL141" s="281"/>
      <c r="BM141" s="281"/>
      <c r="BN141" s="250"/>
      <c r="BO141" s="250"/>
      <c r="BP141" s="250"/>
      <c r="BQ141" s="250"/>
      <c r="BR141" s="250"/>
      <c r="BS141" s="250"/>
      <c r="BT141" s="250"/>
      <c r="BU141" s="250"/>
      <c r="BV141" s="250"/>
      <c r="BW141" s="250"/>
      <c r="BX141" s="250"/>
      <c r="BY141" s="250"/>
      <c r="BZ141" s="250"/>
      <c r="CA141" s="250"/>
      <c r="CB141" s="250"/>
      <c r="CC141" s="250"/>
      <c r="CD141" s="250"/>
      <c r="CE141" s="250"/>
      <c r="CF141" s="250"/>
      <c r="CG141" s="250"/>
      <c r="CH141" s="281"/>
      <c r="CI141" s="281"/>
      <c r="CJ141" s="281"/>
      <c r="CK141" s="281"/>
      <c r="CL141" s="281"/>
      <c r="CM141" s="250"/>
      <c r="CN141" s="250"/>
      <c r="CO141" s="250"/>
      <c r="CP141" s="250"/>
      <c r="CQ141" s="250"/>
      <c r="CR141" s="250"/>
      <c r="CS141" s="250"/>
      <c r="CT141" s="250"/>
      <c r="CU141" s="250"/>
      <c r="CV141" s="250"/>
      <c r="CW141" s="250"/>
      <c r="CX141" s="250"/>
      <c r="CY141" s="250"/>
      <c r="CZ141" s="250"/>
      <c r="DA141" s="281"/>
    </row>
    <row r="142" spans="1:105" s="177" customFormat="1" ht="24" hidden="1" thickBot="1" x14ac:dyDescent="0.6">
      <c r="A142" s="355" t="s">
        <v>110</v>
      </c>
      <c r="B142" s="395"/>
      <c r="C142" s="246"/>
      <c r="D142" s="246"/>
      <c r="E142" s="403"/>
      <c r="F142" s="246"/>
      <c r="G142" s="404">
        <f>IF(ISERROR(K73-K111-K38),0,ROUND((K73-K111-K38),2))</f>
        <v>0</v>
      </c>
      <c r="H142" s="246"/>
      <c r="I142" s="405"/>
      <c r="J142" s="406">
        <f>IF(K73=0,0,H121)</f>
        <v>0</v>
      </c>
      <c r="K142" s="246"/>
      <c r="L142" s="407"/>
      <c r="M142" s="276"/>
      <c r="N142" s="473"/>
      <c r="O142" s="473"/>
      <c r="P142" s="473"/>
      <c r="Q142" s="473"/>
      <c r="R142" s="473"/>
      <c r="S142" s="473"/>
      <c r="T142" s="473"/>
      <c r="U142" s="473"/>
      <c r="V142" s="473"/>
      <c r="W142" s="473"/>
      <c r="X142" s="473"/>
      <c r="Y142" s="517"/>
      <c r="Z142" s="517"/>
      <c r="AA142" s="517"/>
      <c r="AB142" s="365">
        <v>0</v>
      </c>
      <c r="AC142" s="258"/>
      <c r="AD142" s="364" t="s">
        <v>67</v>
      </c>
      <c r="AE142" s="764"/>
      <c r="AF142" s="764"/>
      <c r="AG142" s="764"/>
      <c r="AH142" s="764"/>
      <c r="AI142" s="764"/>
      <c r="AJ142" s="764"/>
      <c r="AK142" s="764"/>
      <c r="AL142" s="764"/>
      <c r="AM142" s="192"/>
      <c r="AN142" s="192"/>
      <c r="AO142" s="192"/>
      <c r="AP142" s="192"/>
      <c r="AQ142" s="192"/>
      <c r="AR142" s="192"/>
      <c r="AS142" s="192"/>
      <c r="AT142" s="192"/>
      <c r="AU142" s="192"/>
      <c r="AV142" s="258"/>
      <c r="AW142" s="256"/>
      <c r="AX142" s="362"/>
      <c r="AY142" s="367"/>
      <c r="AZ142" s="192"/>
      <c r="BB142" s="281"/>
      <c r="BC142" s="281"/>
      <c r="BD142" s="281"/>
      <c r="BE142" s="281"/>
      <c r="BF142" s="281"/>
      <c r="BG142" s="281"/>
      <c r="BH142" s="281"/>
      <c r="BI142" s="281"/>
      <c r="BJ142" s="281"/>
      <c r="BK142" s="281"/>
      <c r="BL142" s="281"/>
      <c r="BM142" s="281"/>
      <c r="BN142" s="250"/>
      <c r="BO142" s="250"/>
      <c r="BP142" s="250"/>
      <c r="BQ142" s="250"/>
      <c r="BR142" s="250"/>
      <c r="BS142" s="250"/>
      <c r="BT142" s="250"/>
      <c r="BU142" s="250"/>
      <c r="BV142" s="250"/>
      <c r="BW142" s="250"/>
      <c r="BX142" s="250"/>
      <c r="BY142" s="250"/>
      <c r="BZ142" s="250"/>
      <c r="CA142" s="250"/>
      <c r="CB142" s="250"/>
      <c r="CC142" s="250"/>
      <c r="CD142" s="250"/>
      <c r="CE142" s="250"/>
      <c r="CF142" s="250"/>
      <c r="CG142" s="250"/>
      <c r="CH142" s="281"/>
      <c r="CI142" s="281"/>
      <c r="CJ142" s="281"/>
      <c r="CK142" s="281"/>
      <c r="CL142" s="281"/>
      <c r="CM142" s="250"/>
      <c r="CN142" s="250"/>
      <c r="CO142" s="250"/>
      <c r="CP142" s="250"/>
      <c r="CQ142" s="250"/>
      <c r="CR142" s="250"/>
      <c r="CS142" s="250"/>
      <c r="CT142" s="250"/>
      <c r="CU142" s="250"/>
      <c r="CV142" s="250"/>
      <c r="CW142" s="250"/>
      <c r="CX142" s="250"/>
      <c r="CY142" s="250"/>
      <c r="CZ142" s="250"/>
      <c r="DA142" s="281"/>
    </row>
    <row r="143" spans="1:105" s="177" customFormat="1" ht="24" hidden="1" thickBot="1" x14ac:dyDescent="0.6">
      <c r="A143" s="408"/>
      <c r="B143" s="395"/>
      <c r="C143" s="246"/>
      <c r="D143" s="246"/>
      <c r="E143" s="400"/>
      <c r="F143" s="395"/>
      <c r="G143" s="401"/>
      <c r="H143" s="246"/>
      <c r="I143" s="409" t="str">
        <f>IF(E28=0,"N/A",IF(E28=E135,0,IF(E28&lt;E135,0,IF(E28&gt;E135,1))))</f>
        <v>N/A</v>
      </c>
      <c r="J143" s="410"/>
      <c r="K143" s="246"/>
      <c r="L143" s="248"/>
      <c r="M143" s="276"/>
      <c r="N143" s="473"/>
      <c r="O143" s="473"/>
      <c r="P143" s="473"/>
      <c r="Q143" s="473"/>
      <c r="R143" s="473"/>
      <c r="S143" s="473"/>
      <c r="T143" s="473"/>
      <c r="U143" s="473"/>
      <c r="V143" s="473"/>
      <c r="W143" s="473"/>
      <c r="X143" s="473"/>
      <c r="Y143" s="518" t="s">
        <v>59</v>
      </c>
      <c r="Z143" s="518"/>
      <c r="AA143" s="518"/>
      <c r="AB143" s="375">
        <v>0</v>
      </c>
      <c r="AC143" s="258"/>
      <c r="AD143" s="364" t="s">
        <v>74</v>
      </c>
      <c r="AE143" s="759"/>
      <c r="AF143" s="759"/>
      <c r="AG143" s="759"/>
      <c r="AH143" s="759"/>
      <c r="AI143" s="759"/>
      <c r="AJ143" s="759"/>
      <c r="AK143" s="759"/>
      <c r="AL143" s="759"/>
      <c r="AM143" s="258"/>
      <c r="AN143" s="258"/>
      <c r="AO143" s="258"/>
      <c r="AP143" s="258"/>
      <c r="AQ143" s="258"/>
      <c r="AR143" s="258"/>
      <c r="AS143" s="258"/>
      <c r="AT143" s="258"/>
      <c r="AU143" s="258"/>
      <c r="AV143" s="363">
        <v>0</v>
      </c>
      <c r="AW143" s="192"/>
      <c r="AX143" s="364" t="s">
        <v>75</v>
      </c>
      <c r="AY143" s="258"/>
      <c r="AZ143" s="363">
        <v>0</v>
      </c>
      <c r="BB143" s="281"/>
      <c r="BC143" s="281"/>
      <c r="BD143" s="281"/>
      <c r="BE143" s="281"/>
      <c r="BF143" s="281"/>
      <c r="BG143" s="281"/>
      <c r="BH143" s="281"/>
      <c r="BI143" s="281"/>
      <c r="BJ143" s="281"/>
      <c r="BK143" s="281"/>
      <c r="BL143" s="281"/>
      <c r="BM143" s="281"/>
      <c r="BN143" s="250"/>
      <c r="BO143" s="250"/>
      <c r="BP143" s="250"/>
      <c r="BQ143" s="250"/>
      <c r="BR143" s="250"/>
      <c r="BS143" s="250"/>
      <c r="BT143" s="250"/>
      <c r="BU143" s="250"/>
      <c r="BV143" s="250"/>
      <c r="BW143" s="250"/>
      <c r="BX143" s="250"/>
      <c r="BY143" s="250"/>
      <c r="BZ143" s="250"/>
      <c r="CA143" s="250"/>
      <c r="CB143" s="250"/>
      <c r="CC143" s="250"/>
      <c r="CD143" s="250"/>
      <c r="CE143" s="250"/>
      <c r="CF143" s="250"/>
      <c r="CG143" s="250"/>
      <c r="CH143" s="281"/>
      <c r="CI143" s="281"/>
      <c r="CJ143" s="281"/>
      <c r="CK143" s="281"/>
      <c r="CL143" s="281"/>
      <c r="CM143" s="250"/>
      <c r="CN143" s="250"/>
      <c r="CO143" s="250"/>
      <c r="CP143" s="250"/>
      <c r="CQ143" s="250"/>
      <c r="CR143" s="250"/>
      <c r="CS143" s="250"/>
      <c r="CT143" s="250"/>
      <c r="CU143" s="250"/>
      <c r="CV143" s="250"/>
      <c r="CW143" s="250"/>
      <c r="CX143" s="250"/>
      <c r="CY143" s="250"/>
      <c r="CZ143" s="250"/>
      <c r="DA143" s="281"/>
    </row>
    <row r="144" spans="1:105" s="177" customFormat="1" ht="24" hidden="1" thickBot="1" x14ac:dyDescent="0.6">
      <c r="A144" s="355" t="s">
        <v>146</v>
      </c>
      <c r="B144" s="246"/>
      <c r="C144" s="246"/>
      <c r="D144" s="246"/>
      <c r="E144" s="411">
        <f>IF(K73=0,0,4)</f>
        <v>0</v>
      </c>
      <c r="F144" s="395"/>
      <c r="G144" s="112">
        <f>IF(ISERROR((E28+I97)/(E63+K63)),0,(E28+I97)/(E63+K63))</f>
        <v>0</v>
      </c>
      <c r="H144" s="246"/>
      <c r="I144" s="246"/>
      <c r="J144" s="412">
        <f>IF(K73=0,0,3.5)</f>
        <v>0</v>
      </c>
      <c r="K144" s="246"/>
      <c r="L144" s="248"/>
      <c r="M144" s="276"/>
      <c r="N144" s="473"/>
      <c r="O144" s="473"/>
      <c r="P144" s="473"/>
      <c r="Q144" s="473"/>
      <c r="R144" s="473"/>
      <c r="S144" s="473"/>
      <c r="T144" s="473"/>
      <c r="U144" s="473"/>
      <c r="V144" s="473"/>
      <c r="W144" s="473"/>
      <c r="X144" s="473"/>
      <c r="Y144" s="518" t="s">
        <v>60</v>
      </c>
      <c r="Z144" s="518"/>
      <c r="AA144" s="518"/>
      <c r="AB144" s="378">
        <f>SUM(AB139:AB143)</f>
        <v>0</v>
      </c>
      <c r="AC144" s="258"/>
      <c r="AD144" s="364" t="s">
        <v>66</v>
      </c>
      <c r="AE144" s="759"/>
      <c r="AF144" s="759"/>
      <c r="AG144" s="759"/>
      <c r="AH144" s="759"/>
      <c r="AI144" s="759"/>
      <c r="AJ144" s="759"/>
      <c r="AK144" s="759"/>
      <c r="AL144" s="759"/>
      <c r="AM144" s="258"/>
      <c r="AN144" s="258"/>
      <c r="AO144" s="258"/>
      <c r="AP144" s="258"/>
      <c r="AQ144" s="258"/>
      <c r="AR144" s="258"/>
      <c r="AS144" s="258"/>
      <c r="AT144" s="258"/>
      <c r="AU144" s="258"/>
      <c r="AV144" s="365">
        <v>0</v>
      </c>
      <c r="AW144" s="258"/>
      <c r="AX144" s="364" t="s">
        <v>65</v>
      </c>
      <c r="AY144" s="258"/>
      <c r="AZ144" s="365">
        <v>0</v>
      </c>
      <c r="BB144" s="281"/>
      <c r="BC144" s="281"/>
      <c r="BD144" s="281"/>
      <c r="BE144" s="281"/>
      <c r="BF144" s="281"/>
      <c r="BG144" s="281"/>
      <c r="BH144" s="281"/>
      <c r="BI144" s="281"/>
      <c r="BJ144" s="281"/>
      <c r="BK144" s="281"/>
      <c r="BL144" s="281"/>
      <c r="BM144" s="281"/>
      <c r="BN144" s="250"/>
      <c r="BO144" s="250"/>
      <c r="BP144" s="250"/>
      <c r="BQ144" s="250"/>
      <c r="BR144" s="250"/>
      <c r="BS144" s="250"/>
      <c r="BT144" s="250"/>
      <c r="BU144" s="250"/>
      <c r="BV144" s="250"/>
      <c r="BW144" s="250"/>
      <c r="BX144" s="250"/>
      <c r="BY144" s="250"/>
      <c r="BZ144" s="250"/>
      <c r="CA144" s="250"/>
      <c r="CB144" s="250"/>
      <c r="CC144" s="250"/>
      <c r="CD144" s="250"/>
      <c r="CE144" s="250"/>
      <c r="CF144" s="250"/>
      <c r="CG144" s="250"/>
      <c r="CH144" s="281"/>
      <c r="CI144" s="281"/>
      <c r="CJ144" s="281"/>
      <c r="CK144" s="281"/>
      <c r="CL144" s="281"/>
      <c r="CM144" s="250"/>
      <c r="CN144" s="250"/>
      <c r="CO144" s="250"/>
      <c r="CP144" s="250"/>
      <c r="CQ144" s="250"/>
      <c r="CR144" s="250"/>
      <c r="CS144" s="250"/>
      <c r="CT144" s="250"/>
      <c r="CU144" s="250"/>
      <c r="CV144" s="250"/>
      <c r="CW144" s="250"/>
      <c r="CX144" s="250"/>
      <c r="CY144" s="250"/>
      <c r="CZ144" s="250"/>
      <c r="DA144" s="281"/>
    </row>
    <row r="145" spans="1:107" s="177" customFormat="1" ht="18.75" customHeight="1" x14ac:dyDescent="0.55000000000000004">
      <c r="A145" s="413"/>
      <c r="B145" s="246"/>
      <c r="C145" s="395"/>
      <c r="D145" s="395"/>
      <c r="E145" s="246"/>
      <c r="F145" s="395"/>
      <c r="G145" s="401"/>
      <c r="H145" s="246"/>
      <c r="I145" s="246"/>
      <c r="J145" s="395"/>
      <c r="K145" s="246"/>
      <c r="L145" s="248"/>
      <c r="M145" s="276"/>
      <c r="N145" s="473"/>
      <c r="O145" s="473"/>
      <c r="P145" s="473"/>
      <c r="Q145" s="473"/>
      <c r="R145" s="473"/>
      <c r="S145" s="473"/>
      <c r="T145" s="473"/>
      <c r="U145" s="473"/>
      <c r="V145" s="473"/>
      <c r="W145" s="473"/>
      <c r="X145" s="473"/>
      <c r="Y145" s="518"/>
      <c r="Z145" s="519"/>
      <c r="AA145" s="519"/>
      <c r="AB145" s="368"/>
      <c r="AC145" s="258"/>
      <c r="AD145" s="376"/>
      <c r="AE145" s="759"/>
      <c r="AF145" s="759"/>
      <c r="AG145" s="759"/>
      <c r="AH145" s="759"/>
      <c r="AI145" s="759"/>
      <c r="AJ145" s="759"/>
      <c r="AK145" s="759"/>
      <c r="AL145" s="759"/>
      <c r="AM145" s="258"/>
      <c r="AN145" s="258"/>
      <c r="AO145" s="258"/>
      <c r="AP145" s="258"/>
      <c r="AQ145" s="258"/>
      <c r="AR145" s="258"/>
      <c r="AS145" s="258"/>
      <c r="AT145" s="258"/>
      <c r="AU145" s="258"/>
      <c r="AV145" s="365"/>
      <c r="AW145" s="258"/>
      <c r="AX145" s="364"/>
      <c r="AY145" s="258"/>
      <c r="AZ145" s="365"/>
      <c r="BB145" s="281"/>
      <c r="BC145" s="281"/>
      <c r="BD145" s="281"/>
      <c r="BE145" s="281"/>
      <c r="BF145" s="281"/>
      <c r="BG145" s="281"/>
      <c r="BH145" s="281"/>
      <c r="BI145" s="281"/>
      <c r="BJ145" s="281"/>
      <c r="BK145" s="281"/>
      <c r="BL145" s="281"/>
      <c r="BM145" s="281"/>
      <c r="BN145" s="250"/>
      <c r="BO145" s="250"/>
      <c r="BP145" s="250"/>
      <c r="BQ145" s="250"/>
      <c r="BR145" s="250"/>
      <c r="BS145" s="250"/>
      <c r="BT145" s="250"/>
      <c r="BU145" s="250"/>
      <c r="BV145" s="250"/>
      <c r="BW145" s="250"/>
      <c r="BX145" s="250"/>
      <c r="BY145" s="250"/>
      <c r="BZ145" s="250"/>
      <c r="CA145" s="250"/>
      <c r="CB145" s="250"/>
      <c r="CC145" s="250"/>
      <c r="CD145" s="250"/>
      <c r="CE145" s="250"/>
      <c r="CF145" s="250"/>
      <c r="CG145" s="250"/>
      <c r="CH145" s="281"/>
      <c r="CI145" s="281"/>
      <c r="CJ145" s="281"/>
      <c r="CK145" s="281"/>
      <c r="CL145" s="281"/>
      <c r="CM145" s="250"/>
      <c r="CN145" s="250"/>
      <c r="CO145" s="250"/>
      <c r="CP145" s="250"/>
      <c r="CQ145" s="250"/>
      <c r="CR145" s="250"/>
      <c r="CS145" s="250"/>
      <c r="CT145" s="250"/>
      <c r="CU145" s="250"/>
      <c r="CV145" s="250"/>
      <c r="CW145" s="250"/>
      <c r="CX145" s="250"/>
      <c r="CY145" s="250"/>
      <c r="CZ145" s="250"/>
      <c r="DA145" s="281"/>
      <c r="DC145" s="354"/>
    </row>
    <row r="146" spans="1:107" s="177" customFormat="1" ht="27" customHeight="1" x14ac:dyDescent="0.35">
      <c r="A146" s="413"/>
      <c r="B146" s="990" t="str">
        <f>IF(I140="Yes","If customer borrowed the requested loan amount their cash available to fund living expenses would be:","")</f>
        <v>If customer borrowed the requested loan amount their cash available to fund living expenses would be:</v>
      </c>
      <c r="C146" s="990"/>
      <c r="D146" s="990"/>
      <c r="E146" s="990"/>
      <c r="F146" s="990"/>
      <c r="G146" s="990"/>
      <c r="H146" s="990"/>
      <c r="I146" s="414" t="e">
        <f>IF(I140="Yes",K73-K111-K38-K9,0)</f>
        <v>#DIV/0!</v>
      </c>
      <c r="J146" s="270" t="str">
        <f>IF(I140="Yes","  Per Month","")</f>
        <v xml:space="preserve">  Per Month</v>
      </c>
      <c r="K146" s="246"/>
      <c r="L146" s="248"/>
      <c r="M146" s="276"/>
      <c r="N146" s="473"/>
      <c r="O146" s="473"/>
      <c r="P146" s="473"/>
      <c r="Q146" s="473"/>
      <c r="R146" s="473"/>
      <c r="S146" s="473"/>
      <c r="T146" s="473"/>
      <c r="U146" s="473"/>
      <c r="V146" s="473"/>
      <c r="W146" s="473"/>
      <c r="X146" s="473"/>
      <c r="Y146" s="518"/>
      <c r="Z146" s="519"/>
      <c r="AA146" s="519"/>
      <c r="AB146" s="368"/>
      <c r="AC146" s="258"/>
      <c r="AD146" s="376"/>
      <c r="AE146" s="759"/>
      <c r="AF146" s="759"/>
      <c r="AG146" s="759"/>
      <c r="AH146" s="759"/>
      <c r="AI146" s="759"/>
      <c r="AJ146" s="759"/>
      <c r="AK146" s="759"/>
      <c r="AL146" s="759"/>
      <c r="AM146" s="258"/>
      <c r="AN146" s="258"/>
      <c r="AO146" s="258"/>
      <c r="AP146" s="258"/>
      <c r="AQ146" s="258"/>
      <c r="AR146" s="258"/>
      <c r="AS146" s="258"/>
      <c r="AT146" s="258"/>
      <c r="AU146" s="258"/>
      <c r="AV146" s="365"/>
      <c r="AW146" s="258"/>
      <c r="AX146" s="364"/>
      <c r="AY146" s="258"/>
      <c r="AZ146" s="375"/>
      <c r="BB146" s="281"/>
      <c r="BC146" s="281"/>
      <c r="BD146" s="281"/>
      <c r="BE146" s="281"/>
      <c r="BF146" s="281"/>
      <c r="BG146" s="281"/>
      <c r="BH146" s="281"/>
      <c r="BI146" s="281"/>
      <c r="BJ146" s="281"/>
      <c r="BK146" s="281"/>
      <c r="BL146" s="281"/>
      <c r="BM146" s="281"/>
      <c r="BN146" s="250"/>
      <c r="BO146" s="250"/>
      <c r="BP146" s="250"/>
      <c r="BQ146" s="250"/>
      <c r="BR146" s="250"/>
      <c r="BS146" s="250"/>
      <c r="BT146" s="250"/>
      <c r="BU146" s="250"/>
      <c r="BV146" s="250"/>
      <c r="BW146" s="250"/>
      <c r="BX146" s="250"/>
      <c r="BY146" s="250"/>
      <c r="BZ146" s="250"/>
      <c r="CA146" s="250"/>
      <c r="CB146" s="250"/>
      <c r="CC146" s="250"/>
      <c r="CD146" s="250"/>
      <c r="CE146" s="250"/>
      <c r="CF146" s="250"/>
      <c r="CG146" s="250"/>
      <c r="CH146" s="281"/>
      <c r="CI146" s="281"/>
      <c r="CJ146" s="281"/>
      <c r="CK146" s="281"/>
      <c r="CL146" s="281"/>
      <c r="CM146" s="250"/>
      <c r="CN146" s="250"/>
      <c r="CO146" s="250"/>
      <c r="CP146" s="250"/>
      <c r="CQ146" s="250"/>
      <c r="CR146" s="250"/>
      <c r="CS146" s="250"/>
      <c r="CT146" s="250"/>
      <c r="CU146" s="250"/>
      <c r="CV146" s="250"/>
      <c r="CW146" s="250"/>
      <c r="CX146" s="250"/>
      <c r="CY146" s="250"/>
      <c r="CZ146" s="250"/>
      <c r="DA146" s="281"/>
    </row>
    <row r="147" spans="1:107" s="177" customFormat="1" ht="13.5" customHeight="1" thickBot="1" x14ac:dyDescent="0.4">
      <c r="A147" s="413"/>
      <c r="B147" s="1007"/>
      <c r="C147" s="1007"/>
      <c r="D147" s="1007"/>
      <c r="E147" s="1007"/>
      <c r="F147" s="1007"/>
      <c r="G147" s="1007"/>
      <c r="H147" s="1007"/>
      <c r="I147" s="246"/>
      <c r="J147" s="395"/>
      <c r="K147" s="246"/>
      <c r="L147" s="248"/>
      <c r="M147" s="276"/>
      <c r="N147" s="473"/>
      <c r="O147" s="473"/>
      <c r="P147" s="473"/>
      <c r="Q147" s="473"/>
      <c r="R147" s="473"/>
      <c r="S147" s="473"/>
      <c r="T147" s="473"/>
      <c r="U147" s="473"/>
      <c r="V147" s="473"/>
      <c r="W147" s="473"/>
      <c r="X147" s="473"/>
      <c r="Y147" s="518"/>
      <c r="Z147" s="519"/>
      <c r="AA147" s="519"/>
      <c r="AB147" s="368"/>
      <c r="AC147" s="258"/>
      <c r="AD147" s="376"/>
      <c r="AE147" s="759"/>
      <c r="AF147" s="759"/>
      <c r="AG147" s="759"/>
      <c r="AH147" s="759"/>
      <c r="AI147" s="759"/>
      <c r="AJ147" s="759"/>
      <c r="AK147" s="759"/>
      <c r="AL147" s="759"/>
      <c r="AM147" s="258"/>
      <c r="AN147" s="258"/>
      <c r="AO147" s="258"/>
      <c r="AP147" s="258"/>
      <c r="AQ147" s="258"/>
      <c r="AR147" s="258"/>
      <c r="AS147" s="258"/>
      <c r="AT147" s="258"/>
      <c r="AU147" s="258"/>
      <c r="AV147" s="365"/>
      <c r="AW147" s="258"/>
      <c r="AX147" s="364"/>
      <c r="AY147" s="258"/>
      <c r="AZ147" s="375"/>
      <c r="BB147" s="281"/>
      <c r="BC147" s="281"/>
      <c r="BD147" s="281"/>
      <c r="BE147" s="281"/>
      <c r="BF147" s="281"/>
      <c r="BG147" s="281"/>
      <c r="BH147" s="281"/>
      <c r="BI147" s="281"/>
      <c r="BJ147" s="281"/>
      <c r="BK147" s="281"/>
      <c r="BL147" s="281"/>
      <c r="BM147" s="281"/>
      <c r="BN147" s="250"/>
      <c r="BO147" s="250"/>
      <c r="BP147" s="250"/>
      <c r="BQ147" s="250"/>
      <c r="BR147" s="250"/>
      <c r="BS147" s="250"/>
      <c r="BT147" s="250"/>
      <c r="BU147" s="250"/>
      <c r="BV147" s="250"/>
      <c r="BW147" s="250"/>
      <c r="BX147" s="250"/>
      <c r="BY147" s="250"/>
      <c r="BZ147" s="250"/>
      <c r="CA147" s="250"/>
      <c r="CB147" s="250"/>
      <c r="CC147" s="250"/>
      <c r="CD147" s="250"/>
      <c r="CE147" s="250"/>
      <c r="CF147" s="250"/>
      <c r="CG147" s="250"/>
      <c r="CH147" s="281"/>
      <c r="CI147" s="281"/>
      <c r="CJ147" s="281"/>
      <c r="CK147" s="281"/>
      <c r="CL147" s="281"/>
      <c r="CM147" s="250"/>
      <c r="CN147" s="250"/>
      <c r="CO147" s="250"/>
      <c r="CP147" s="250"/>
      <c r="CQ147" s="250"/>
      <c r="CR147" s="250"/>
      <c r="CS147" s="250"/>
      <c r="CT147" s="250"/>
      <c r="CU147" s="250"/>
      <c r="CV147" s="250"/>
      <c r="CW147" s="250"/>
      <c r="CX147" s="250"/>
      <c r="CY147" s="250"/>
      <c r="CZ147" s="250"/>
      <c r="DA147" s="281"/>
    </row>
    <row r="148" spans="1:107" s="177" customFormat="1" ht="25.5" customHeight="1" thickBot="1" x14ac:dyDescent="0.55000000000000004">
      <c r="A148" s="981" t="str">
        <f>IF(I140="No","",N59)</f>
        <v>Minimum Disposable Income Requirement</v>
      </c>
      <c r="B148" s="982"/>
      <c r="C148" s="982"/>
      <c r="D148" s="590"/>
      <c r="E148" s="537">
        <f>IF(I140="No","",O44)</f>
        <v>0</v>
      </c>
      <c r="F148" s="395"/>
      <c r="G148" s="540" t="e">
        <f>IF(I140="No","",O57)</f>
        <v>#DIV/0!</v>
      </c>
      <c r="H148" s="246"/>
      <c r="I148" s="974" t="e">
        <f>IF(I140="No","",S46)</f>
        <v>#DIV/0!</v>
      </c>
      <c r="J148" s="975"/>
      <c r="K148" s="976"/>
      <c r="L148" s="248"/>
      <c r="M148" s="276"/>
      <c r="N148" s="473"/>
      <c r="O148" s="473"/>
      <c r="P148" s="473"/>
      <c r="Q148" s="473"/>
      <c r="R148" s="473"/>
      <c r="S148" s="473"/>
      <c r="T148" s="473"/>
      <c r="U148" s="473"/>
      <c r="V148" s="473"/>
      <c r="W148" s="473"/>
      <c r="X148" s="473"/>
      <c r="Y148" s="518"/>
      <c r="Z148" s="519"/>
      <c r="AA148" s="519"/>
      <c r="AB148" s="368"/>
      <c r="AC148" s="258"/>
      <c r="AD148" s="376"/>
      <c r="AE148" s="759"/>
      <c r="AF148" s="759"/>
      <c r="AG148" s="759"/>
      <c r="AH148" s="759"/>
      <c r="AI148" s="759"/>
      <c r="AJ148" s="759"/>
      <c r="AK148" s="759"/>
      <c r="AL148" s="759"/>
      <c r="AM148" s="258"/>
      <c r="AN148" s="258"/>
      <c r="AO148" s="258"/>
      <c r="AP148" s="258"/>
      <c r="AQ148" s="258"/>
      <c r="AR148" s="258"/>
      <c r="AS148" s="258"/>
      <c r="AT148" s="258"/>
      <c r="AU148" s="258"/>
      <c r="AV148" s="365"/>
      <c r="AW148" s="258"/>
      <c r="AX148" s="364"/>
      <c r="AY148" s="258"/>
      <c r="AZ148" s="375"/>
      <c r="BB148" s="281"/>
      <c r="BC148" s="281"/>
      <c r="BD148" s="281"/>
      <c r="BE148" s="281"/>
      <c r="BF148" s="281"/>
      <c r="BG148" s="281"/>
      <c r="BH148" s="281"/>
      <c r="BI148" s="281"/>
      <c r="BJ148" s="281"/>
      <c r="BK148" s="281"/>
      <c r="BL148" s="281"/>
      <c r="BM148" s="281"/>
      <c r="BN148" s="250"/>
      <c r="BO148" s="250"/>
      <c r="BP148" s="250"/>
      <c r="BQ148" s="250"/>
      <c r="BR148" s="250"/>
      <c r="BS148" s="250"/>
      <c r="BT148" s="250"/>
      <c r="BU148" s="250"/>
      <c r="BV148" s="250"/>
      <c r="BW148" s="250"/>
      <c r="BX148" s="250"/>
      <c r="BY148" s="250"/>
      <c r="BZ148" s="250"/>
      <c r="CA148" s="250"/>
      <c r="CB148" s="250"/>
      <c r="CC148" s="250"/>
      <c r="CD148" s="250"/>
      <c r="CE148" s="250"/>
      <c r="CF148" s="250"/>
      <c r="CG148" s="250"/>
      <c r="CH148" s="281"/>
      <c r="CI148" s="281"/>
      <c r="CJ148" s="281"/>
      <c r="CK148" s="281"/>
      <c r="CL148" s="281"/>
      <c r="CM148" s="250"/>
      <c r="CN148" s="250"/>
      <c r="CO148" s="250"/>
      <c r="CP148" s="250"/>
      <c r="CQ148" s="250"/>
      <c r="CR148" s="250"/>
      <c r="CS148" s="250"/>
      <c r="CT148" s="250"/>
      <c r="CU148" s="250"/>
      <c r="CV148" s="250"/>
      <c r="CW148" s="250"/>
      <c r="CX148" s="250"/>
      <c r="CY148" s="250"/>
      <c r="CZ148" s="250"/>
      <c r="DA148" s="281"/>
    </row>
    <row r="149" spans="1:107" s="177" customFormat="1" ht="19.5" customHeight="1" x14ac:dyDescent="0.35">
      <c r="A149" s="413"/>
      <c r="B149" s="459"/>
      <c r="C149" s="459"/>
      <c r="D149" s="459"/>
      <c r="E149" s="541" t="str">
        <f>IF(I140="No","",N58)</f>
        <v>(MDIR)</v>
      </c>
      <c r="F149" s="542"/>
      <c r="G149" s="541" t="str">
        <f>IF(I140="No","",N71)</f>
        <v xml:space="preserve">% MDIR </v>
      </c>
      <c r="H149" s="459"/>
      <c r="I149" s="983" t="e">
        <f>IF(I148="Fail -  Requires Comment",N73,IF(I148="Fail -  Requires Justification",O73,IF(I148="Failed MDIR Criteria",P73,"")))</f>
        <v>#DIV/0!</v>
      </c>
      <c r="J149" s="984"/>
      <c r="K149" s="984"/>
      <c r="L149" s="248"/>
      <c r="M149" s="276"/>
      <c r="N149" s="473"/>
      <c r="O149" s="473"/>
      <c r="P149" s="473"/>
      <c r="Q149" s="473"/>
      <c r="R149" s="473"/>
      <c r="S149" s="473"/>
      <c r="T149" s="473"/>
      <c r="U149" s="473"/>
      <c r="V149" s="473"/>
      <c r="W149" s="473"/>
      <c r="X149" s="473"/>
      <c r="Y149" s="518"/>
      <c r="Z149" s="519"/>
      <c r="AA149" s="519"/>
      <c r="AB149" s="368"/>
      <c r="AC149" s="258"/>
      <c r="AD149" s="376"/>
      <c r="AE149" s="759"/>
      <c r="AF149" s="759"/>
      <c r="AG149" s="759"/>
      <c r="AH149" s="759"/>
      <c r="AI149" s="759"/>
      <c r="AJ149" s="759"/>
      <c r="AK149" s="759"/>
      <c r="AL149" s="759"/>
      <c r="AM149" s="258"/>
      <c r="AN149" s="258"/>
      <c r="AO149" s="258"/>
      <c r="AP149" s="258"/>
      <c r="AQ149" s="258"/>
      <c r="AR149" s="258"/>
      <c r="AS149" s="258"/>
      <c r="AT149" s="258"/>
      <c r="AU149" s="258"/>
      <c r="AV149" s="365"/>
      <c r="AW149" s="258"/>
      <c r="AX149" s="364"/>
      <c r="AY149" s="258"/>
      <c r="AZ149" s="375"/>
      <c r="BB149" s="281"/>
      <c r="BC149" s="281"/>
      <c r="BD149" s="281"/>
      <c r="BE149" s="281"/>
      <c r="BF149" s="281"/>
      <c r="BG149" s="281"/>
      <c r="BH149" s="281"/>
      <c r="BI149" s="281"/>
      <c r="BJ149" s="281"/>
      <c r="BK149" s="281"/>
      <c r="BL149" s="281"/>
      <c r="BM149" s="281"/>
      <c r="BN149" s="250"/>
      <c r="BO149" s="250"/>
      <c r="BP149" s="250"/>
      <c r="BQ149" s="250"/>
      <c r="BR149" s="250"/>
      <c r="BS149" s="250"/>
      <c r="BT149" s="250"/>
      <c r="BU149" s="250"/>
      <c r="BV149" s="250"/>
      <c r="BW149" s="250"/>
      <c r="BX149" s="250"/>
      <c r="BY149" s="250"/>
      <c r="BZ149" s="250"/>
      <c r="CA149" s="250"/>
      <c r="CB149" s="250"/>
      <c r="CC149" s="250"/>
      <c r="CD149" s="250"/>
      <c r="CE149" s="250"/>
      <c r="CF149" s="250"/>
      <c r="CG149" s="250"/>
      <c r="CH149" s="281"/>
      <c r="CI149" s="281"/>
      <c r="CJ149" s="281"/>
      <c r="CK149" s="281"/>
      <c r="CL149" s="281"/>
      <c r="CM149" s="250"/>
      <c r="CN149" s="250"/>
      <c r="CO149" s="250"/>
      <c r="CP149" s="250"/>
      <c r="CQ149" s="250"/>
      <c r="CR149" s="250"/>
      <c r="CS149" s="250"/>
      <c r="CT149" s="250"/>
      <c r="CU149" s="250"/>
      <c r="CV149" s="250"/>
      <c r="CW149" s="250"/>
      <c r="CX149" s="250"/>
      <c r="CY149" s="250"/>
      <c r="CZ149" s="250"/>
      <c r="DA149" s="281"/>
    </row>
    <row r="150" spans="1:107" s="177" customFormat="1" ht="22.5" customHeight="1" x14ac:dyDescent="0.35">
      <c r="A150" s="977" t="e">
        <f>IF(G148&lt;100%,N53,"")</f>
        <v>#DIV/0!</v>
      </c>
      <c r="B150" s="978"/>
      <c r="C150" s="978"/>
      <c r="D150" s="589"/>
      <c r="E150" s="538" t="e">
        <f>IF(I140="No","",IF(O51&gt;E28,E28,IF(G148&lt;100%,O51,"")))</f>
        <v>#DIV/0!</v>
      </c>
      <c r="F150" s="459"/>
      <c r="G150" s="539" t="e">
        <f>IF(I140="No","",IF(G148&lt;100%,O52,""))</f>
        <v>#DIV/0!</v>
      </c>
      <c r="H150" s="459"/>
      <c r="I150" s="985"/>
      <c r="J150" s="985"/>
      <c r="K150" s="985"/>
      <c r="L150" s="248"/>
      <c r="M150" s="276"/>
      <c r="N150" s="473"/>
      <c r="O150" s="473"/>
      <c r="P150" s="473"/>
      <c r="Q150" s="473"/>
      <c r="R150" s="473"/>
      <c r="S150" s="473"/>
      <c r="T150" s="473"/>
      <c r="U150" s="473"/>
      <c r="V150" s="473"/>
      <c r="W150" s="473"/>
      <c r="X150" s="473"/>
      <c r="Y150" s="518"/>
      <c r="Z150" s="519"/>
      <c r="AA150" s="519"/>
      <c r="AB150" s="368"/>
      <c r="AC150" s="258"/>
      <c r="AD150" s="376"/>
      <c r="AE150" s="759"/>
      <c r="AF150" s="759"/>
      <c r="AG150" s="759"/>
      <c r="AH150" s="759"/>
      <c r="AI150" s="759"/>
      <c r="AJ150" s="759"/>
      <c r="AK150" s="759"/>
      <c r="AL150" s="759"/>
      <c r="AM150" s="258"/>
      <c r="AN150" s="258"/>
      <c r="AO150" s="258"/>
      <c r="AP150" s="258"/>
      <c r="AQ150" s="258"/>
      <c r="AR150" s="258"/>
      <c r="AS150" s="258"/>
      <c r="AT150" s="258"/>
      <c r="AU150" s="258"/>
      <c r="AV150" s="365"/>
      <c r="AW150" s="258"/>
      <c r="AX150" s="364"/>
      <c r="AY150" s="258"/>
      <c r="AZ150" s="375"/>
      <c r="BB150" s="281"/>
      <c r="BC150" s="281"/>
      <c r="BD150" s="281"/>
      <c r="BE150" s="281"/>
      <c r="BF150" s="281"/>
      <c r="BG150" s="281"/>
      <c r="BH150" s="281"/>
      <c r="BI150" s="281"/>
      <c r="BJ150" s="281"/>
      <c r="BK150" s="281"/>
      <c r="BL150" s="281"/>
      <c r="BM150" s="281"/>
      <c r="BN150" s="250"/>
      <c r="BO150" s="250"/>
      <c r="BP150" s="250"/>
      <c r="BQ150" s="250"/>
      <c r="BR150" s="250"/>
      <c r="BS150" s="250"/>
      <c r="BT150" s="250"/>
      <c r="BU150" s="250"/>
      <c r="BV150" s="250"/>
      <c r="BW150" s="250"/>
      <c r="BX150" s="250"/>
      <c r="BY150" s="250"/>
      <c r="BZ150" s="250"/>
      <c r="CA150" s="250"/>
      <c r="CB150" s="250"/>
      <c r="CC150" s="250"/>
      <c r="CD150" s="250"/>
      <c r="CE150" s="250"/>
      <c r="CF150" s="250"/>
      <c r="CG150" s="250"/>
      <c r="CH150" s="281"/>
      <c r="CI150" s="281"/>
      <c r="CJ150" s="281"/>
      <c r="CK150" s="281"/>
      <c r="CL150" s="281"/>
      <c r="CM150" s="250"/>
      <c r="CN150" s="250"/>
      <c r="CO150" s="250"/>
      <c r="CP150" s="250"/>
      <c r="CQ150" s="250"/>
      <c r="CR150" s="250"/>
      <c r="CS150" s="250"/>
      <c r="CT150" s="250"/>
      <c r="CU150" s="250"/>
      <c r="CV150" s="250"/>
      <c r="CW150" s="250"/>
      <c r="CX150" s="250"/>
      <c r="CY150" s="250"/>
      <c r="CZ150" s="250"/>
      <c r="DA150" s="281"/>
    </row>
    <row r="151" spans="1:107" s="177" customFormat="1" ht="25.5" customHeight="1" x14ac:dyDescent="0.35">
      <c r="A151" s="977" t="e">
        <f>IF(G148&lt;100%,N54,"")</f>
        <v>#DIV/0!</v>
      </c>
      <c r="B151" s="978"/>
      <c r="C151" s="978"/>
      <c r="D151" s="589"/>
      <c r="E151" s="460"/>
      <c r="F151" s="459"/>
      <c r="G151" s="543" t="e">
        <f>(IF(G148&lt;100%,N55,""))</f>
        <v>#DIV/0!</v>
      </c>
      <c r="H151" s="459"/>
      <c r="I151" s="985"/>
      <c r="J151" s="985"/>
      <c r="K151" s="985"/>
      <c r="L151" s="248"/>
      <c r="M151" s="276"/>
      <c r="N151" s="473"/>
      <c r="O151" s="473"/>
      <c r="P151" s="473"/>
      <c r="Q151" s="473"/>
      <c r="R151" s="473"/>
      <c r="S151" s="473"/>
      <c r="T151" s="473"/>
      <c r="U151" s="473"/>
      <c r="V151" s="473"/>
      <c r="W151" s="473"/>
      <c r="X151" s="473"/>
      <c r="Y151" s="518"/>
      <c r="Z151" s="519"/>
      <c r="AA151" s="519"/>
      <c r="AB151" s="368"/>
      <c r="AC151" s="258"/>
      <c r="AD151" s="376"/>
      <c r="AE151" s="759"/>
      <c r="AF151" s="759"/>
      <c r="AG151" s="759"/>
      <c r="AH151" s="759"/>
      <c r="AI151" s="759"/>
      <c r="AJ151" s="759"/>
      <c r="AK151" s="759"/>
      <c r="AL151" s="759"/>
      <c r="AM151" s="258"/>
      <c r="AN151" s="258"/>
      <c r="AO151" s="258"/>
      <c r="AP151" s="258"/>
      <c r="AQ151" s="258"/>
      <c r="AR151" s="258"/>
      <c r="AS151" s="258"/>
      <c r="AT151" s="258"/>
      <c r="AU151" s="258"/>
      <c r="AV151" s="365"/>
      <c r="AW151" s="258"/>
      <c r="AX151" s="364"/>
      <c r="AY151" s="258"/>
      <c r="AZ151" s="375"/>
      <c r="BB151" s="281"/>
      <c r="BC151" s="281"/>
      <c r="BD151" s="281"/>
      <c r="BE151" s="281"/>
      <c r="BF151" s="281"/>
      <c r="BG151" s="281"/>
      <c r="BH151" s="281"/>
      <c r="BI151" s="281"/>
      <c r="BJ151" s="281"/>
      <c r="BK151" s="281"/>
      <c r="BL151" s="281"/>
      <c r="BM151" s="281"/>
      <c r="BN151" s="250"/>
      <c r="BO151" s="250"/>
      <c r="BP151" s="250"/>
      <c r="BQ151" s="250"/>
      <c r="BR151" s="250"/>
      <c r="BS151" s="250"/>
      <c r="BT151" s="250"/>
      <c r="BU151" s="250"/>
      <c r="BV151" s="250"/>
      <c r="BW151" s="250"/>
      <c r="BX151" s="250"/>
      <c r="BY151" s="250"/>
      <c r="BZ151" s="250"/>
      <c r="CA151" s="250"/>
      <c r="CB151" s="250"/>
      <c r="CC151" s="250"/>
      <c r="CD151" s="250"/>
      <c r="CE151" s="250"/>
      <c r="CF151" s="250"/>
      <c r="CG151" s="250"/>
      <c r="CH151" s="281"/>
      <c r="CI151" s="281"/>
      <c r="CJ151" s="281"/>
      <c r="CK151" s="281"/>
      <c r="CL151" s="281"/>
      <c r="CM151" s="250"/>
      <c r="CN151" s="250"/>
      <c r="CO151" s="250"/>
      <c r="CP151" s="250"/>
      <c r="CQ151" s="250"/>
      <c r="CR151" s="250"/>
      <c r="CS151" s="250"/>
      <c r="CT151" s="250"/>
      <c r="CU151" s="250"/>
      <c r="CV151" s="250"/>
      <c r="CW151" s="250"/>
      <c r="CX151" s="250"/>
      <c r="CY151" s="250"/>
      <c r="CZ151" s="250"/>
      <c r="DA151" s="281"/>
    </row>
    <row r="152" spans="1:107" s="177" customFormat="1" ht="21" hidden="1" customHeight="1" x14ac:dyDescent="0.35">
      <c r="A152" s="977" t="str">
        <f>IF(G149&lt;100%,N55,"")</f>
        <v/>
      </c>
      <c r="B152" s="978"/>
      <c r="C152" s="978"/>
      <c r="D152" s="589"/>
      <c r="E152" s="415"/>
      <c r="F152" s="415"/>
      <c r="G152" s="415"/>
      <c r="H152" s="415"/>
      <c r="I152" s="985"/>
      <c r="J152" s="985"/>
      <c r="K152" s="985"/>
      <c r="L152" s="248"/>
      <c r="M152" s="276"/>
      <c r="N152" s="473"/>
      <c r="O152" s="473"/>
      <c r="P152" s="473"/>
      <c r="Q152" s="473"/>
      <c r="R152" s="473"/>
      <c r="S152" s="473"/>
      <c r="T152" s="473"/>
      <c r="U152" s="473"/>
      <c r="V152" s="473"/>
      <c r="W152" s="473"/>
      <c r="X152" s="473"/>
      <c r="Y152" s="518"/>
      <c r="Z152" s="519"/>
      <c r="AA152" s="519"/>
      <c r="AB152" s="368"/>
      <c r="AC152" s="258"/>
      <c r="AD152" s="376"/>
      <c r="AE152" s="759"/>
      <c r="AF152" s="759"/>
      <c r="AG152" s="759"/>
      <c r="AH152" s="759"/>
      <c r="AI152" s="759"/>
      <c r="AJ152" s="759"/>
      <c r="AK152" s="759"/>
      <c r="AL152" s="759"/>
      <c r="AM152" s="258"/>
      <c r="AN152" s="258"/>
      <c r="AO152" s="258"/>
      <c r="AP152" s="258"/>
      <c r="AQ152" s="258"/>
      <c r="AR152" s="258"/>
      <c r="AS152" s="258"/>
      <c r="AT152" s="258"/>
      <c r="AU152" s="258"/>
      <c r="AV152" s="365"/>
      <c r="AW152" s="258"/>
      <c r="AX152" s="364"/>
      <c r="AY152" s="258"/>
      <c r="AZ152" s="375"/>
      <c r="BB152" s="281"/>
      <c r="BC152" s="281"/>
      <c r="BD152" s="281"/>
      <c r="BE152" s="281"/>
      <c r="BF152" s="281"/>
      <c r="BG152" s="281"/>
      <c r="BH152" s="281"/>
      <c r="BI152" s="281"/>
      <c r="BJ152" s="281"/>
      <c r="BK152" s="281"/>
      <c r="BL152" s="281"/>
      <c r="BM152" s="281"/>
      <c r="BN152" s="250"/>
      <c r="BO152" s="250"/>
      <c r="BP152" s="250"/>
      <c r="BQ152" s="250"/>
      <c r="BR152" s="250"/>
      <c r="BS152" s="250"/>
      <c r="BT152" s="250"/>
      <c r="BU152" s="250"/>
      <c r="BV152" s="250"/>
      <c r="BW152" s="250"/>
      <c r="BX152" s="250"/>
      <c r="BY152" s="250"/>
      <c r="BZ152" s="250"/>
      <c r="CA152" s="250"/>
      <c r="CB152" s="250"/>
      <c r="CC152" s="250"/>
      <c r="CD152" s="250"/>
      <c r="CE152" s="250"/>
      <c r="CF152" s="250"/>
      <c r="CG152" s="250"/>
      <c r="CH152" s="281"/>
      <c r="CI152" s="281"/>
      <c r="CJ152" s="281"/>
      <c r="CK152" s="281"/>
      <c r="CL152" s="281"/>
      <c r="CM152" s="250"/>
      <c r="CN152" s="250"/>
      <c r="CO152" s="250"/>
      <c r="CP152" s="250"/>
      <c r="CQ152" s="250"/>
      <c r="CR152" s="250"/>
      <c r="CS152" s="250"/>
      <c r="CT152" s="250"/>
      <c r="CU152" s="250"/>
      <c r="CV152" s="250"/>
      <c r="CW152" s="250"/>
      <c r="CX152" s="250"/>
      <c r="CY152" s="250"/>
      <c r="CZ152" s="250"/>
      <c r="DA152" s="281"/>
    </row>
    <row r="153" spans="1:107" s="177" customFormat="1" ht="21.75" hidden="1" customHeight="1" thickBot="1" x14ac:dyDescent="0.4">
      <c r="A153" s="977" t="e">
        <f>IF(G150&lt;100%,N56,"")</f>
        <v>#DIV/0!</v>
      </c>
      <c r="B153" s="978"/>
      <c r="C153" s="978"/>
      <c r="D153" s="589"/>
      <c r="E153" s="415"/>
      <c r="F153" s="415"/>
      <c r="G153" s="415"/>
      <c r="H153" s="415"/>
      <c r="I153" s="985"/>
      <c r="J153" s="985"/>
      <c r="K153" s="985"/>
      <c r="L153" s="248"/>
      <c r="M153" s="276"/>
      <c r="N153" s="473"/>
      <c r="O153" s="473"/>
      <c r="P153" s="473"/>
      <c r="Q153" s="473"/>
      <c r="R153" s="473"/>
      <c r="S153" s="473"/>
      <c r="T153" s="473"/>
      <c r="U153" s="473"/>
      <c r="V153" s="473"/>
      <c r="W153" s="473"/>
      <c r="X153" s="473"/>
      <c r="Y153" s="518"/>
      <c r="Z153" s="519"/>
      <c r="AA153" s="519"/>
      <c r="AB153" s="368"/>
      <c r="AC153" s="258"/>
      <c r="AD153" s="376"/>
      <c r="AE153" s="759"/>
      <c r="AF153" s="759"/>
      <c r="AG153" s="759"/>
      <c r="AH153" s="759"/>
      <c r="AI153" s="759"/>
      <c r="AJ153" s="759"/>
      <c r="AK153" s="759"/>
      <c r="AL153" s="759"/>
      <c r="AM153" s="258"/>
      <c r="AN153" s="258"/>
      <c r="AO153" s="258"/>
      <c r="AP153" s="258"/>
      <c r="AQ153" s="258"/>
      <c r="AR153" s="258"/>
      <c r="AS153" s="258"/>
      <c r="AT153" s="258"/>
      <c r="AU153" s="258"/>
      <c r="AV153" s="365"/>
      <c r="AW153" s="258"/>
      <c r="AX153" s="364"/>
      <c r="AY153" s="258"/>
      <c r="AZ153" s="375"/>
      <c r="BB153" s="281"/>
      <c r="BC153" s="281"/>
      <c r="BD153" s="281"/>
      <c r="BE153" s="281"/>
      <c r="BF153" s="281"/>
      <c r="BG153" s="281"/>
      <c r="BH153" s="281"/>
      <c r="BI153" s="281"/>
      <c r="BJ153" s="281"/>
      <c r="BK153" s="281"/>
      <c r="BL153" s="281"/>
      <c r="BM153" s="281"/>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81"/>
      <c r="CI153" s="281"/>
      <c r="CJ153" s="281"/>
      <c r="CK153" s="281"/>
      <c r="CL153" s="281"/>
      <c r="CM153" s="250"/>
      <c r="CN153" s="250"/>
      <c r="CO153" s="250"/>
      <c r="CP153" s="250"/>
      <c r="CQ153" s="250"/>
      <c r="CR153" s="250"/>
      <c r="CS153" s="250"/>
      <c r="CT153" s="250"/>
      <c r="CU153" s="250"/>
      <c r="CV153" s="250"/>
      <c r="CW153" s="250"/>
      <c r="CX153" s="250"/>
      <c r="CY153" s="250"/>
      <c r="CZ153" s="250"/>
      <c r="DA153" s="281"/>
    </row>
    <row r="154" spans="1:107" s="177" customFormat="1" ht="21" x14ac:dyDescent="0.35">
      <c r="A154" s="977" t="e">
        <f>IF(G148&lt;100%,N61,"")</f>
        <v>#DIV/0!</v>
      </c>
      <c r="B154" s="978"/>
      <c r="C154" s="978"/>
      <c r="D154" s="589"/>
      <c r="E154" s="415"/>
      <c r="F154" s="415"/>
      <c r="G154" s="415"/>
      <c r="H154" s="415"/>
      <c r="I154" s="985"/>
      <c r="J154" s="985"/>
      <c r="K154" s="985"/>
      <c r="L154" s="248"/>
      <c r="M154" s="276"/>
      <c r="N154" s="473"/>
      <c r="O154" s="473"/>
      <c r="P154" s="473"/>
      <c r="Q154" s="473"/>
      <c r="R154" s="473"/>
      <c r="S154" s="473"/>
      <c r="T154" s="473"/>
      <c r="U154" s="473"/>
      <c r="V154" s="473"/>
      <c r="W154" s="473"/>
      <c r="X154" s="473"/>
      <c r="Y154" s="518"/>
      <c r="Z154" s="519"/>
      <c r="AA154" s="519"/>
      <c r="AB154" s="368"/>
      <c r="AC154" s="258"/>
      <c r="AD154" s="376"/>
      <c r="AE154" s="759"/>
      <c r="AF154" s="759"/>
      <c r="AG154" s="759"/>
      <c r="AH154" s="759"/>
      <c r="AI154" s="759"/>
      <c r="AJ154" s="759"/>
      <c r="AK154" s="759"/>
      <c r="AL154" s="759"/>
      <c r="AM154" s="258"/>
      <c r="AN154" s="258"/>
      <c r="AO154" s="258"/>
      <c r="AP154" s="258"/>
      <c r="AQ154" s="258"/>
      <c r="AR154" s="258"/>
      <c r="AS154" s="258"/>
      <c r="AT154" s="258"/>
      <c r="AU154" s="258"/>
      <c r="AV154" s="365"/>
      <c r="AW154" s="258"/>
      <c r="AX154" s="364"/>
      <c r="AY154" s="258"/>
      <c r="AZ154" s="375"/>
      <c r="BB154" s="281"/>
      <c r="BC154" s="281"/>
      <c r="BD154" s="281"/>
      <c r="BE154" s="281"/>
      <c r="BF154" s="281"/>
      <c r="BG154" s="281"/>
      <c r="BH154" s="281"/>
      <c r="BI154" s="281"/>
      <c r="BJ154" s="281"/>
      <c r="BK154" s="281"/>
      <c r="BL154" s="281"/>
      <c r="BM154" s="281"/>
      <c r="BN154" s="250"/>
      <c r="BO154" s="250"/>
      <c r="BP154" s="250"/>
      <c r="BQ154" s="250"/>
      <c r="BR154" s="250"/>
      <c r="BS154" s="250"/>
      <c r="BT154" s="250"/>
      <c r="BU154" s="250"/>
      <c r="BV154" s="250"/>
      <c r="BW154" s="250"/>
      <c r="BX154" s="250"/>
      <c r="BY154" s="250"/>
      <c r="BZ154" s="250"/>
      <c r="CA154" s="250"/>
      <c r="CB154" s="250"/>
      <c r="CC154" s="250"/>
      <c r="CD154" s="250"/>
      <c r="CE154" s="250"/>
      <c r="CF154" s="250"/>
      <c r="CG154" s="250"/>
      <c r="CH154" s="281"/>
      <c r="CI154" s="281"/>
      <c r="CJ154" s="281"/>
      <c r="CK154" s="281"/>
      <c r="CL154" s="281"/>
      <c r="CM154" s="250"/>
      <c r="CN154" s="250"/>
      <c r="CO154" s="250"/>
      <c r="CP154" s="250"/>
      <c r="CQ154" s="250"/>
      <c r="CR154" s="250"/>
      <c r="CS154" s="250"/>
      <c r="CT154" s="250"/>
      <c r="CU154" s="250"/>
      <c r="CV154" s="250"/>
      <c r="CW154" s="250"/>
      <c r="CX154" s="250"/>
      <c r="CY154" s="250"/>
      <c r="CZ154" s="250"/>
      <c r="DA154" s="281"/>
    </row>
    <row r="155" spans="1:107" s="177" customFormat="1" ht="21" x14ac:dyDescent="0.35">
      <c r="A155" s="588"/>
      <c r="B155" s="589"/>
      <c r="C155" s="589"/>
      <c r="D155" s="589"/>
      <c r="E155" s="415"/>
      <c r="F155" s="415"/>
      <c r="G155" s="415"/>
      <c r="H155" s="415"/>
      <c r="I155" s="985"/>
      <c r="J155" s="985"/>
      <c r="K155" s="985"/>
      <c r="L155" s="248"/>
      <c r="M155" s="276"/>
      <c r="N155" s="473"/>
      <c r="O155" s="473"/>
      <c r="P155" s="473"/>
      <c r="Q155" s="473"/>
      <c r="R155" s="473"/>
      <c r="S155" s="473"/>
      <c r="T155" s="473"/>
      <c r="U155" s="473"/>
      <c r="V155" s="473"/>
      <c r="W155" s="473"/>
      <c r="X155" s="473"/>
      <c r="Y155" s="518"/>
      <c r="Z155" s="519"/>
      <c r="AA155" s="519"/>
      <c r="AB155" s="368"/>
      <c r="AC155" s="258"/>
      <c r="AD155" s="554"/>
      <c r="AE155" s="759"/>
      <c r="AF155" s="759"/>
      <c r="AG155" s="759"/>
      <c r="AH155" s="759"/>
      <c r="AI155" s="759"/>
      <c r="AJ155" s="759"/>
      <c r="AK155" s="759"/>
      <c r="AL155" s="759"/>
      <c r="AM155" s="258"/>
      <c r="AN155" s="258"/>
      <c r="AO155" s="258"/>
      <c r="AP155" s="258"/>
      <c r="AQ155" s="258"/>
      <c r="AR155" s="258"/>
      <c r="AS155" s="258"/>
      <c r="AT155" s="258"/>
      <c r="AU155" s="258"/>
      <c r="AV155" s="365"/>
      <c r="AW155" s="258"/>
      <c r="AX155" s="364"/>
      <c r="AY155" s="258"/>
      <c r="AZ155" s="375"/>
      <c r="BB155" s="281"/>
      <c r="BC155" s="281"/>
      <c r="BD155" s="281"/>
      <c r="BE155" s="281"/>
      <c r="BF155" s="281"/>
      <c r="BG155" s="281"/>
      <c r="BH155" s="281"/>
      <c r="BI155" s="281"/>
      <c r="BJ155" s="281"/>
      <c r="BK155" s="281"/>
      <c r="BL155" s="281"/>
      <c r="BM155" s="281"/>
      <c r="BN155" s="250"/>
      <c r="BO155" s="250"/>
      <c r="BP155" s="250"/>
      <c r="BQ155" s="250"/>
      <c r="BR155" s="250"/>
      <c r="BS155" s="250"/>
      <c r="BT155" s="250"/>
      <c r="BU155" s="250"/>
      <c r="BV155" s="250"/>
      <c r="BW155" s="250"/>
      <c r="BX155" s="250"/>
      <c r="BY155" s="250"/>
      <c r="BZ155" s="250"/>
      <c r="CA155" s="250"/>
      <c r="CB155" s="250"/>
      <c r="CC155" s="250"/>
      <c r="CD155" s="250"/>
      <c r="CE155" s="250"/>
      <c r="CF155" s="250"/>
      <c r="CG155" s="250"/>
      <c r="CH155" s="281"/>
      <c r="CI155" s="281"/>
      <c r="CJ155" s="281"/>
      <c r="CK155" s="281"/>
      <c r="CL155" s="281"/>
      <c r="CM155" s="250"/>
      <c r="CN155" s="250"/>
      <c r="CO155" s="250"/>
      <c r="CP155" s="250"/>
      <c r="CQ155" s="250"/>
      <c r="CR155" s="250"/>
      <c r="CS155" s="250"/>
      <c r="CT155" s="250"/>
      <c r="CU155" s="250"/>
      <c r="CV155" s="250"/>
      <c r="CW155" s="250"/>
      <c r="CX155" s="250"/>
      <c r="CY155" s="250"/>
      <c r="CZ155" s="250"/>
      <c r="DA155" s="281"/>
    </row>
    <row r="156" spans="1:107" s="177" customFormat="1" ht="31.5" customHeight="1" x14ac:dyDescent="0.35">
      <c r="D156" s="459"/>
      <c r="E156" s="258"/>
      <c r="F156" s="599"/>
      <c r="G156" s="599"/>
      <c r="H156" s="599"/>
      <c r="I156" s="985"/>
      <c r="J156" s="985"/>
      <c r="K156" s="985"/>
      <c r="L156" s="248"/>
      <c r="M156" s="276"/>
      <c r="N156" s="473"/>
      <c r="O156" s="473"/>
      <c r="P156" s="473"/>
      <c r="Q156" s="473"/>
      <c r="R156" s="473"/>
      <c r="S156" s="473"/>
      <c r="T156" s="473"/>
      <c r="U156" s="473"/>
      <c r="V156" s="473"/>
      <c r="W156" s="473"/>
      <c r="X156" s="473"/>
      <c r="Y156" s="518"/>
      <c r="Z156" s="519"/>
      <c r="AA156" s="519"/>
      <c r="AB156" s="368"/>
      <c r="AC156" s="258"/>
      <c r="AD156" s="376"/>
      <c r="AE156" s="759"/>
      <c r="AF156" s="759"/>
      <c r="AG156" s="759"/>
      <c r="AH156" s="759"/>
      <c r="AI156" s="759"/>
      <c r="AJ156" s="759"/>
      <c r="AK156" s="759"/>
      <c r="AL156" s="759"/>
      <c r="AM156" s="258"/>
      <c r="AN156" s="258"/>
      <c r="AO156" s="258"/>
      <c r="AP156" s="258"/>
      <c r="AQ156" s="258"/>
      <c r="AR156" s="258"/>
      <c r="AS156" s="258"/>
      <c r="AT156" s="258"/>
      <c r="AU156" s="258"/>
      <c r="AV156" s="365"/>
      <c r="AW156" s="258"/>
      <c r="AX156" s="364"/>
      <c r="AY156" s="258"/>
      <c r="AZ156" s="375"/>
      <c r="BB156" s="281"/>
      <c r="BC156" s="281"/>
      <c r="BD156" s="281"/>
      <c r="BE156" s="281"/>
      <c r="BF156" s="281"/>
      <c r="BG156" s="281"/>
      <c r="BH156" s="281"/>
      <c r="BI156" s="281"/>
      <c r="BJ156" s="281"/>
      <c r="BK156" s="281"/>
      <c r="BL156" s="281"/>
      <c r="BM156" s="281"/>
      <c r="BN156" s="250"/>
      <c r="BO156" s="250"/>
      <c r="BP156" s="250"/>
      <c r="BQ156" s="250"/>
      <c r="BR156" s="250"/>
      <c r="BS156" s="250"/>
      <c r="BT156" s="250"/>
      <c r="BU156" s="250"/>
      <c r="BV156" s="250"/>
      <c r="BW156" s="250"/>
      <c r="BX156" s="250"/>
      <c r="BY156" s="250"/>
      <c r="BZ156" s="250"/>
      <c r="CA156" s="250"/>
      <c r="CB156" s="250"/>
      <c r="CC156" s="250"/>
      <c r="CD156" s="250"/>
      <c r="CE156" s="250"/>
      <c r="CF156" s="250"/>
      <c r="CG156" s="250"/>
      <c r="CH156" s="281"/>
      <c r="CI156" s="281"/>
      <c r="CJ156" s="281"/>
      <c r="CK156" s="281"/>
      <c r="CL156" s="281"/>
      <c r="CM156" s="250"/>
      <c r="CN156" s="250"/>
      <c r="CO156" s="250"/>
      <c r="CP156" s="250"/>
      <c r="CQ156" s="250"/>
      <c r="CR156" s="250"/>
      <c r="CS156" s="250"/>
      <c r="CT156" s="250"/>
      <c r="CU156" s="250"/>
      <c r="CV156" s="250"/>
      <c r="CW156" s="250"/>
      <c r="CX156" s="250"/>
      <c r="CY156" s="250"/>
      <c r="CZ156" s="250"/>
      <c r="DA156" s="281"/>
    </row>
    <row r="157" spans="1:107" s="177" customFormat="1" ht="30.75" customHeight="1" x14ac:dyDescent="0.45">
      <c r="D157" s="597"/>
      <c r="E157" s="850" t="s">
        <v>609</v>
      </c>
      <c r="F157" s="1018"/>
      <c r="G157" s="1018"/>
      <c r="H157" s="844"/>
      <c r="I157" s="985"/>
      <c r="J157" s="985"/>
      <c r="K157" s="985"/>
      <c r="L157" s="248"/>
      <c r="M157" s="276"/>
      <c r="N157" s="473"/>
      <c r="O157" s="473"/>
      <c r="P157" s="473"/>
      <c r="Q157" s="473"/>
      <c r="R157" s="473"/>
      <c r="S157" s="473"/>
      <c r="T157" s="473"/>
      <c r="U157" s="473"/>
      <c r="V157" s="473"/>
      <c r="W157" s="473"/>
      <c r="X157" s="473"/>
      <c r="Y157" s="518"/>
      <c r="Z157" s="519"/>
      <c r="AA157" s="519"/>
      <c r="AB157" s="368"/>
      <c r="AC157" s="258"/>
      <c r="AD157" s="376"/>
      <c r="AE157" s="759"/>
      <c r="AF157" s="759"/>
      <c r="AG157" s="759"/>
      <c r="AH157" s="759"/>
      <c r="AI157" s="759"/>
      <c r="AJ157" s="759"/>
      <c r="AK157" s="759"/>
      <c r="AL157" s="759"/>
      <c r="AM157" s="258"/>
      <c r="AN157" s="258"/>
      <c r="AO157" s="258"/>
      <c r="AP157" s="258"/>
      <c r="AQ157" s="258"/>
      <c r="AR157" s="258"/>
      <c r="AS157" s="258"/>
      <c r="AT157" s="258"/>
      <c r="AU157" s="258"/>
      <c r="AV157" s="365"/>
      <c r="AW157" s="258"/>
      <c r="AX157" s="364"/>
      <c r="AY157" s="258"/>
      <c r="AZ157" s="375"/>
      <c r="BB157" s="281"/>
      <c r="BC157" s="281"/>
      <c r="BD157" s="281"/>
      <c r="BE157" s="281"/>
      <c r="BF157" s="281"/>
      <c r="BG157" s="281"/>
      <c r="BH157" s="281"/>
      <c r="BI157" s="281"/>
      <c r="BJ157" s="281"/>
      <c r="BK157" s="281"/>
      <c r="BL157" s="281"/>
      <c r="BM157" s="281"/>
      <c r="BN157" s="250"/>
      <c r="BO157" s="250"/>
      <c r="BP157" s="250"/>
      <c r="BQ157" s="250"/>
      <c r="BR157" s="250"/>
      <c r="BS157" s="250"/>
      <c r="BT157" s="250"/>
      <c r="BU157" s="250"/>
      <c r="BV157" s="250"/>
      <c r="BW157" s="250"/>
      <c r="BX157" s="250"/>
      <c r="BY157" s="250"/>
      <c r="BZ157" s="250"/>
      <c r="CA157" s="250"/>
      <c r="CB157" s="250"/>
      <c r="CC157" s="250"/>
      <c r="CD157" s="250"/>
      <c r="CE157" s="250"/>
      <c r="CF157" s="250"/>
      <c r="CG157" s="250"/>
      <c r="CH157" s="281"/>
      <c r="CI157" s="281"/>
      <c r="CJ157" s="281"/>
      <c r="CK157" s="281"/>
      <c r="CL157" s="281"/>
      <c r="CM157" s="250"/>
      <c r="CN157" s="250"/>
      <c r="CO157" s="250"/>
      <c r="CP157" s="250"/>
      <c r="CQ157" s="250"/>
      <c r="CR157" s="250"/>
      <c r="CS157" s="250"/>
      <c r="CT157" s="250"/>
      <c r="CU157" s="250"/>
      <c r="CV157" s="250"/>
      <c r="CW157" s="250"/>
      <c r="CX157" s="250"/>
      <c r="CY157" s="250"/>
      <c r="CZ157" s="250"/>
      <c r="DA157" s="281"/>
    </row>
    <row r="158" spans="1:107" s="177" customFormat="1" ht="29.25" customHeight="1" x14ac:dyDescent="0.5">
      <c r="B158" s="845"/>
      <c r="C158" s="846"/>
      <c r="D158" s="846"/>
      <c r="E158" s="851" t="s">
        <v>610</v>
      </c>
      <c r="F158" s="1018"/>
      <c r="G158" s="1018"/>
      <c r="H158" s="258"/>
      <c r="I158" s="985"/>
      <c r="J158" s="985"/>
      <c r="K158" s="985"/>
      <c r="L158" s="248"/>
      <c r="M158" s="276"/>
      <c r="N158" s="473"/>
      <c r="O158" s="473"/>
      <c r="P158" s="473"/>
      <c r="Q158" s="473"/>
      <c r="R158" s="473"/>
      <c r="S158" s="473"/>
      <c r="T158" s="473"/>
      <c r="U158" s="473"/>
      <c r="V158" s="473"/>
      <c r="W158" s="473"/>
      <c r="X158" s="473"/>
      <c r="Y158" s="518"/>
      <c r="Z158" s="519"/>
      <c r="AA158" s="519"/>
      <c r="AB158" s="368"/>
      <c r="AC158" s="258"/>
      <c r="AD158" s="376"/>
      <c r="AE158" s="759"/>
      <c r="AF158" s="759"/>
      <c r="AG158" s="759"/>
      <c r="AH158" s="759"/>
      <c r="AI158" s="759"/>
      <c r="AJ158" s="759"/>
      <c r="AK158" s="759"/>
      <c r="AL158" s="759"/>
      <c r="AM158" s="258"/>
      <c r="AN158" s="258"/>
      <c r="AO158" s="258"/>
      <c r="AP158" s="258"/>
      <c r="AQ158" s="258"/>
      <c r="AR158" s="258"/>
      <c r="AS158" s="258"/>
      <c r="AT158" s="258"/>
      <c r="AU158" s="258"/>
      <c r="AV158" s="365"/>
      <c r="AW158" s="258"/>
      <c r="AX158" s="364"/>
      <c r="AY158" s="258"/>
      <c r="AZ158" s="375"/>
      <c r="BB158" s="281"/>
      <c r="BC158" s="281"/>
      <c r="BD158" s="281"/>
      <c r="BE158" s="281"/>
      <c r="BF158" s="281"/>
      <c r="BG158" s="281"/>
      <c r="BH158" s="281"/>
      <c r="BI158" s="281"/>
      <c r="BJ158" s="281"/>
      <c r="BK158" s="281"/>
      <c r="BL158" s="281"/>
      <c r="BM158" s="281"/>
      <c r="BN158" s="250"/>
      <c r="BO158" s="250"/>
      <c r="BP158" s="250"/>
      <c r="BQ158" s="250"/>
      <c r="BR158" s="250"/>
      <c r="BS158" s="250"/>
      <c r="BT158" s="250"/>
      <c r="BU158" s="250"/>
      <c r="BV158" s="250"/>
      <c r="BW158" s="250"/>
      <c r="BX158" s="250"/>
      <c r="BY158" s="250"/>
      <c r="BZ158" s="250"/>
      <c r="CA158" s="250"/>
      <c r="CB158" s="250"/>
      <c r="CC158" s="250"/>
      <c r="CD158" s="250"/>
      <c r="CE158" s="250"/>
      <c r="CF158" s="250"/>
      <c r="CG158" s="250"/>
      <c r="CH158" s="281"/>
      <c r="CI158" s="281"/>
      <c r="CJ158" s="281"/>
      <c r="CK158" s="281"/>
      <c r="CL158" s="281"/>
      <c r="CM158" s="250"/>
      <c r="CN158" s="250"/>
      <c r="CO158" s="250"/>
      <c r="CP158" s="250"/>
      <c r="CQ158" s="250"/>
      <c r="CR158" s="250"/>
      <c r="CS158" s="250"/>
      <c r="CT158" s="250"/>
      <c r="CU158" s="250"/>
      <c r="CV158" s="250"/>
      <c r="CW158" s="250"/>
      <c r="CX158" s="250"/>
      <c r="CY158" s="250"/>
      <c r="CZ158" s="250"/>
      <c r="DA158" s="281"/>
    </row>
    <row r="159" spans="1:107" s="177" customFormat="1" ht="27.75" customHeight="1" x14ac:dyDescent="0.5">
      <c r="A159" s="600"/>
      <c r="B159" s="596"/>
      <c r="C159" s="597"/>
      <c r="D159" s="597"/>
      <c r="E159" s="851" t="s">
        <v>611</v>
      </c>
      <c r="F159" s="1014"/>
      <c r="G159" s="1014"/>
      <c r="H159" s="256"/>
      <c r="I159" s="1015"/>
      <c r="J159" s="993"/>
      <c r="K159" s="585"/>
      <c r="L159" s="248"/>
      <c r="M159" s="276"/>
      <c r="N159" s="473"/>
      <c r="O159" s="473"/>
      <c r="P159" s="473"/>
      <c r="Q159" s="473"/>
      <c r="R159" s="473"/>
      <c r="S159" s="473"/>
      <c r="T159" s="473"/>
      <c r="U159" s="473"/>
      <c r="V159" s="473"/>
      <c r="W159" s="473"/>
      <c r="X159" s="473"/>
      <c r="Y159" s="518"/>
      <c r="Z159" s="519"/>
      <c r="AA159" s="519"/>
      <c r="AB159" s="368"/>
      <c r="AC159" s="258"/>
      <c r="AD159" s="376"/>
      <c r="AE159" s="759"/>
      <c r="AF159" s="759"/>
      <c r="AG159" s="759"/>
      <c r="AH159" s="759"/>
      <c r="AI159" s="759"/>
      <c r="AJ159" s="759"/>
      <c r="AK159" s="759"/>
      <c r="AL159" s="759"/>
      <c r="AM159" s="258"/>
      <c r="AN159" s="258"/>
      <c r="AO159" s="258"/>
      <c r="AP159" s="258"/>
      <c r="AQ159" s="258"/>
      <c r="AR159" s="258"/>
      <c r="AS159" s="258"/>
      <c r="AT159" s="258"/>
      <c r="AU159" s="258"/>
      <c r="AV159" s="365"/>
      <c r="AW159" s="258"/>
      <c r="AX159" s="364"/>
      <c r="AY159" s="258"/>
      <c r="AZ159" s="375"/>
      <c r="BB159" s="281"/>
      <c r="BC159" s="281"/>
      <c r="BD159" s="281"/>
      <c r="BE159" s="281"/>
      <c r="BF159" s="281"/>
      <c r="BG159" s="281"/>
      <c r="BH159" s="281"/>
      <c r="BI159" s="281"/>
      <c r="BJ159" s="281"/>
      <c r="BK159" s="281"/>
      <c r="BL159" s="281"/>
      <c r="BM159" s="281"/>
      <c r="BN159" s="250"/>
      <c r="BO159" s="250"/>
      <c r="BP159" s="250"/>
      <c r="BQ159" s="250"/>
      <c r="BR159" s="250"/>
      <c r="BS159" s="250"/>
      <c r="BT159" s="250"/>
      <c r="BU159" s="250"/>
      <c r="BV159" s="250"/>
      <c r="BW159" s="250"/>
      <c r="BX159" s="250"/>
      <c r="BY159" s="250"/>
      <c r="BZ159" s="250"/>
      <c r="CA159" s="250"/>
      <c r="CB159" s="250"/>
      <c r="CC159" s="250"/>
      <c r="CD159" s="250"/>
      <c r="CE159" s="250"/>
      <c r="CF159" s="250"/>
      <c r="CG159" s="250"/>
      <c r="CH159" s="281"/>
      <c r="CI159" s="281"/>
      <c r="CJ159" s="281"/>
      <c r="CK159" s="281"/>
      <c r="CL159" s="281"/>
      <c r="CM159" s="250"/>
      <c r="CN159" s="250"/>
      <c r="CO159" s="250"/>
      <c r="CP159" s="250"/>
      <c r="CQ159" s="250"/>
      <c r="CR159" s="250"/>
      <c r="CS159" s="250"/>
      <c r="CT159" s="250"/>
      <c r="CU159" s="250"/>
      <c r="CV159" s="250"/>
      <c r="CW159" s="250"/>
      <c r="CX159" s="250"/>
      <c r="CY159" s="250"/>
      <c r="CZ159" s="250"/>
      <c r="DA159" s="281"/>
    </row>
    <row r="160" spans="1:107" s="177" customFormat="1" ht="30" customHeight="1" thickBot="1" x14ac:dyDescent="0.55000000000000004">
      <c r="A160" s="601"/>
      <c r="B160" s="602"/>
      <c r="C160" s="603"/>
      <c r="D160" s="603"/>
      <c r="E160" s="603"/>
      <c r="F160" s="1012"/>
      <c r="G160" s="1013"/>
      <c r="H160" s="604"/>
      <c r="I160" s="1016"/>
      <c r="J160" s="1016"/>
      <c r="K160" s="605"/>
      <c r="L160" s="374"/>
      <c r="M160" s="276"/>
      <c r="N160" s="473"/>
      <c r="O160" s="473"/>
      <c r="P160" s="473"/>
      <c r="Q160" s="473"/>
      <c r="R160" s="473"/>
      <c r="S160" s="473"/>
      <c r="T160" s="473"/>
      <c r="U160" s="473"/>
      <c r="V160" s="473"/>
      <c r="W160" s="473"/>
      <c r="X160" s="473"/>
      <c r="Y160" s="518"/>
      <c r="Z160" s="519"/>
      <c r="AA160" s="519"/>
      <c r="AB160" s="368"/>
      <c r="AC160" s="258"/>
      <c r="AD160" s="376"/>
      <c r="AE160" s="759"/>
      <c r="AF160" s="759"/>
      <c r="AG160" s="759"/>
      <c r="AH160" s="759"/>
      <c r="AI160" s="759"/>
      <c r="AJ160" s="759"/>
      <c r="AK160" s="759"/>
      <c r="AL160" s="759"/>
      <c r="AM160" s="258"/>
      <c r="AN160" s="258"/>
      <c r="AO160" s="258"/>
      <c r="AP160" s="258"/>
      <c r="AQ160" s="258"/>
      <c r="AR160" s="258"/>
      <c r="AS160" s="258"/>
      <c r="AT160" s="258"/>
      <c r="AU160" s="258"/>
      <c r="AV160" s="365"/>
      <c r="AW160" s="258"/>
      <c r="AX160" s="364"/>
      <c r="AY160" s="258"/>
      <c r="AZ160" s="375"/>
      <c r="BB160" s="281"/>
      <c r="BC160" s="281"/>
      <c r="BD160" s="281"/>
      <c r="BE160" s="281"/>
      <c r="BF160" s="281"/>
      <c r="BG160" s="281"/>
      <c r="BH160" s="281"/>
      <c r="BI160" s="281"/>
      <c r="BJ160" s="281"/>
      <c r="BK160" s="281"/>
      <c r="BL160" s="281"/>
      <c r="BM160" s="281"/>
      <c r="BN160" s="250"/>
      <c r="BO160" s="250"/>
      <c r="BP160" s="250"/>
      <c r="BQ160" s="250"/>
      <c r="BR160" s="250"/>
      <c r="BS160" s="250"/>
      <c r="BT160" s="250"/>
      <c r="BU160" s="250"/>
      <c r="BV160" s="250"/>
      <c r="BW160" s="250"/>
      <c r="BX160" s="250"/>
      <c r="BY160" s="250"/>
      <c r="BZ160" s="250"/>
      <c r="CA160" s="250"/>
      <c r="CB160" s="250"/>
      <c r="CC160" s="250"/>
      <c r="CD160" s="250"/>
      <c r="CE160" s="250"/>
      <c r="CF160" s="250"/>
      <c r="CG160" s="250"/>
      <c r="CH160" s="281"/>
      <c r="CI160" s="281"/>
      <c r="CJ160" s="281"/>
      <c r="CK160" s="281"/>
      <c r="CL160" s="281"/>
      <c r="CM160" s="250"/>
      <c r="CN160" s="250"/>
      <c r="CO160" s="250"/>
      <c r="CP160" s="250"/>
      <c r="CQ160" s="250"/>
      <c r="CR160" s="250"/>
      <c r="CS160" s="250"/>
      <c r="CT160" s="250"/>
      <c r="CU160" s="250"/>
      <c r="CV160" s="250"/>
      <c r="CW160" s="250"/>
      <c r="CX160" s="250"/>
      <c r="CY160" s="250"/>
      <c r="CZ160" s="250"/>
      <c r="DA160" s="281"/>
    </row>
    <row r="161" spans="1:105" s="177" customFormat="1" ht="36.75" hidden="1" customHeight="1" x14ac:dyDescent="0.5">
      <c r="A161" s="598"/>
      <c r="B161" s="979"/>
      <c r="C161" s="980"/>
      <c r="D161" s="980"/>
      <c r="E161" s="980"/>
      <c r="F161" s="980"/>
      <c r="G161" s="980"/>
      <c r="H161" s="258"/>
      <c r="I161" s="582"/>
      <c r="J161" s="582"/>
      <c r="K161" s="416"/>
      <c r="L161" s="248"/>
      <c r="M161" s="276"/>
      <c r="N161" s="473"/>
      <c r="O161" s="473"/>
      <c r="P161" s="473"/>
      <c r="Q161" s="473"/>
      <c r="R161" s="473"/>
      <c r="S161" s="473"/>
      <c r="T161" s="473"/>
      <c r="U161" s="473"/>
      <c r="V161" s="473"/>
      <c r="W161" s="473"/>
      <c r="X161" s="473"/>
      <c r="Y161" s="518"/>
      <c r="Z161" s="519"/>
      <c r="AA161" s="519"/>
      <c r="AB161" s="368"/>
      <c r="AC161" s="258"/>
      <c r="AD161" s="376"/>
      <c r="AE161" s="759"/>
      <c r="AF161" s="759"/>
      <c r="AG161" s="759"/>
      <c r="AH161" s="759"/>
      <c r="AI161" s="759"/>
      <c r="AJ161" s="759"/>
      <c r="AK161" s="759"/>
      <c r="AL161" s="759"/>
      <c r="AM161" s="258"/>
      <c r="AN161" s="258"/>
      <c r="AO161" s="258"/>
      <c r="AP161" s="258"/>
      <c r="AQ161" s="258"/>
      <c r="AR161" s="258"/>
      <c r="AS161" s="258"/>
      <c r="AT161" s="258"/>
      <c r="AU161" s="258"/>
      <c r="AV161" s="365"/>
      <c r="AW161" s="258"/>
      <c r="AX161" s="364"/>
      <c r="AY161" s="258"/>
      <c r="AZ161" s="375"/>
      <c r="BB161" s="281"/>
      <c r="BC161" s="281"/>
      <c r="BD161" s="281"/>
      <c r="BE161" s="281"/>
      <c r="BF161" s="281"/>
      <c r="BG161" s="281"/>
      <c r="BH161" s="281"/>
      <c r="BI161" s="281"/>
      <c r="BJ161" s="281"/>
      <c r="BK161" s="281"/>
      <c r="BL161" s="281"/>
      <c r="BM161" s="281"/>
      <c r="BN161" s="250"/>
      <c r="BO161" s="250"/>
      <c r="BP161" s="250"/>
      <c r="BQ161" s="250"/>
      <c r="BR161" s="250"/>
      <c r="BS161" s="250"/>
      <c r="BT161" s="250"/>
      <c r="BU161" s="250"/>
      <c r="BV161" s="250"/>
      <c r="BW161" s="250"/>
      <c r="BX161" s="250"/>
      <c r="BY161" s="250"/>
      <c r="BZ161" s="250"/>
      <c r="CA161" s="250"/>
      <c r="CB161" s="250"/>
      <c r="CC161" s="250"/>
      <c r="CD161" s="250"/>
      <c r="CE161" s="250"/>
      <c r="CF161" s="250"/>
      <c r="CG161" s="250"/>
      <c r="CH161" s="281"/>
      <c r="CI161" s="281"/>
      <c r="CJ161" s="281"/>
      <c r="CK161" s="281"/>
      <c r="CL161" s="281"/>
      <c r="CM161" s="250"/>
      <c r="CN161" s="250"/>
      <c r="CO161" s="250"/>
      <c r="CP161" s="250"/>
      <c r="CQ161" s="250"/>
      <c r="CR161" s="250"/>
      <c r="CS161" s="250"/>
      <c r="CT161" s="250"/>
      <c r="CU161" s="250"/>
      <c r="CV161" s="250"/>
      <c r="CW161" s="250"/>
      <c r="CX161" s="250"/>
      <c r="CY161" s="250"/>
      <c r="CZ161" s="250"/>
      <c r="DA161" s="281"/>
    </row>
    <row r="162" spans="1:105" ht="22.5" hidden="1" customHeight="1" x14ac:dyDescent="0.35">
      <c r="A162" s="417"/>
      <c r="B162" s="418"/>
      <c r="C162" s="418"/>
      <c r="D162" s="418"/>
      <c r="E162" s="418"/>
      <c r="F162" s="395"/>
      <c r="G162" s="250"/>
      <c r="H162" s="419"/>
      <c r="I162" s="420"/>
      <c r="J162" s="246"/>
      <c r="K162" s="250"/>
      <c r="L162" s="248"/>
      <c r="Y162" s="518" t="s">
        <v>61</v>
      </c>
      <c r="Z162" s="519"/>
      <c r="AA162" s="519"/>
      <c r="AB162" s="368"/>
      <c r="AC162" s="258"/>
      <c r="AD162" s="379"/>
      <c r="AE162" s="759"/>
      <c r="AF162" s="759"/>
      <c r="AG162" s="759"/>
      <c r="AH162" s="759"/>
      <c r="AI162" s="759"/>
      <c r="AJ162" s="759"/>
      <c r="AK162" s="759"/>
      <c r="AL162" s="759"/>
      <c r="AM162" s="258"/>
      <c r="AN162" s="258"/>
      <c r="AO162" s="258"/>
      <c r="AP162" s="258"/>
      <c r="AQ162" s="258"/>
      <c r="AR162" s="258"/>
      <c r="AS162" s="258"/>
      <c r="AT162" s="258"/>
      <c r="AU162" s="258"/>
      <c r="AV162" s="365">
        <v>0</v>
      </c>
      <c r="AW162" s="258"/>
      <c r="AX162" s="364" t="s">
        <v>66</v>
      </c>
      <c r="AY162" s="258"/>
      <c r="AZ162" s="375">
        <v>0</v>
      </c>
    </row>
    <row r="163" spans="1:105" ht="9.75" hidden="1" customHeight="1" x14ac:dyDescent="0.5">
      <c r="A163" s="545"/>
      <c r="B163" s="418"/>
      <c r="C163" s="418"/>
      <c r="D163" s="418"/>
      <c r="E163" s="418"/>
      <c r="F163" s="395"/>
      <c r="G163" s="546"/>
      <c r="H163" s="546"/>
      <c r="I163" s="250"/>
      <c r="J163" s="246"/>
      <c r="K163" s="250"/>
      <c r="L163" s="248"/>
      <c r="Y163" s="518"/>
      <c r="Z163" s="519"/>
      <c r="AA163" s="519"/>
      <c r="AB163" s="368"/>
      <c r="AC163" s="258"/>
      <c r="AD163" s="379"/>
      <c r="AE163" s="759"/>
      <c r="AF163" s="759"/>
      <c r="AG163" s="759"/>
      <c r="AH163" s="759"/>
      <c r="AI163" s="759"/>
      <c r="AJ163" s="759"/>
      <c r="AK163" s="759"/>
      <c r="AL163" s="759"/>
      <c r="AM163" s="258"/>
      <c r="AN163" s="258"/>
      <c r="AO163" s="258"/>
      <c r="AP163" s="258"/>
      <c r="AQ163" s="258"/>
      <c r="AR163" s="258"/>
      <c r="AS163" s="258"/>
      <c r="AT163" s="258"/>
      <c r="AU163" s="258"/>
      <c r="AV163" s="375"/>
      <c r="AW163" s="258"/>
      <c r="AX163" s="364"/>
      <c r="AY163" s="258"/>
      <c r="AZ163" s="421"/>
    </row>
    <row r="164" spans="1:105" ht="21.75" hidden="1" customHeight="1" thickBot="1" x14ac:dyDescent="0.55000000000000004">
      <c r="A164" s="549"/>
      <c r="B164" s="1005"/>
      <c r="C164" s="1006"/>
      <c r="D164" s="1006"/>
      <c r="E164" s="1006"/>
      <c r="F164" s="1006"/>
      <c r="G164" s="1006"/>
      <c r="H164" s="546"/>
      <c r="I164" s="250"/>
      <c r="J164" s="544"/>
      <c r="K164" s="544"/>
      <c r="L164" s="248"/>
      <c r="Y164" s="518"/>
      <c r="Z164" s="519"/>
      <c r="AA164" s="519"/>
      <c r="AB164" s="368"/>
      <c r="AC164" s="258"/>
      <c r="AD164" s="379"/>
      <c r="AE164" s="759"/>
      <c r="AF164" s="759"/>
      <c r="AG164" s="759"/>
      <c r="AH164" s="759"/>
      <c r="AI164" s="759"/>
      <c r="AJ164" s="759"/>
      <c r="AK164" s="759"/>
      <c r="AL164" s="759"/>
      <c r="AM164" s="258"/>
      <c r="AN164" s="258"/>
      <c r="AO164" s="258"/>
      <c r="AP164" s="258"/>
      <c r="AQ164" s="258"/>
      <c r="AR164" s="258"/>
      <c r="AS164" s="258"/>
      <c r="AT164" s="258"/>
      <c r="AU164" s="258"/>
      <c r="AV164" s="375"/>
      <c r="AW164" s="258"/>
      <c r="AX164" s="364"/>
      <c r="AY164" s="258"/>
      <c r="AZ164" s="421"/>
    </row>
    <row r="165" spans="1:105" ht="26.25" hidden="1" customHeight="1" thickBot="1" x14ac:dyDescent="0.55000000000000004">
      <c r="A165" s="550"/>
      <c r="B165" s="972"/>
      <c r="C165" s="973"/>
      <c r="D165" s="973"/>
      <c r="E165" s="973"/>
      <c r="F165" s="973"/>
      <c r="G165" s="973"/>
      <c r="H165" s="546"/>
      <c r="J165" s="581"/>
      <c r="K165" s="581"/>
      <c r="L165" s="248"/>
      <c r="Y165" s="518" t="s">
        <v>62</v>
      </c>
      <c r="Z165" s="519"/>
      <c r="AA165" s="519"/>
      <c r="AB165" s="422"/>
      <c r="AC165" s="258"/>
      <c r="AD165" s="423"/>
      <c r="AE165" s="759"/>
      <c r="AF165" s="759"/>
      <c r="AG165" s="759"/>
      <c r="AH165" s="759"/>
      <c r="AI165" s="759"/>
      <c r="AJ165" s="759"/>
      <c r="AK165" s="759"/>
      <c r="AL165" s="759"/>
      <c r="AM165" s="258"/>
      <c r="AN165" s="258"/>
      <c r="AO165" s="258"/>
      <c r="AP165" s="258"/>
      <c r="AQ165" s="258"/>
      <c r="AR165" s="258"/>
      <c r="AS165" s="258"/>
      <c r="AT165" s="258"/>
      <c r="AU165" s="258"/>
      <c r="AV165" s="375">
        <v>0</v>
      </c>
      <c r="AW165" s="258"/>
      <c r="AX165" s="965" t="s">
        <v>26</v>
      </c>
      <c r="AY165" s="966"/>
      <c r="AZ165" s="378">
        <f>SUM(AZ143:AZ162)</f>
        <v>0</v>
      </c>
    </row>
    <row r="166" spans="1:105" ht="24" hidden="1" customHeight="1" x14ac:dyDescent="0.5">
      <c r="A166" s="551"/>
      <c r="B166" s="972"/>
      <c r="C166" s="973"/>
      <c r="D166" s="973"/>
      <c r="E166" s="973"/>
      <c r="F166" s="973"/>
      <c r="G166" s="973"/>
      <c r="H166" s="546"/>
      <c r="I166" s="986"/>
      <c r="J166" s="986"/>
      <c r="K166" s="986"/>
      <c r="L166" s="248"/>
      <c r="Y166" s="520" t="s">
        <v>26</v>
      </c>
      <c r="Z166" s="522"/>
      <c r="AA166" s="522"/>
      <c r="AB166" s="192"/>
      <c r="AC166" s="192"/>
      <c r="AD166" s="192"/>
      <c r="AE166" s="764"/>
      <c r="AF166" s="764"/>
      <c r="AG166" s="764"/>
      <c r="AH166" s="764"/>
      <c r="AI166" s="764"/>
      <c r="AJ166" s="764"/>
      <c r="AK166" s="764"/>
      <c r="AL166" s="764"/>
      <c r="AM166" s="367"/>
      <c r="AN166" s="367"/>
      <c r="AO166" s="367"/>
      <c r="AP166" s="367"/>
      <c r="AQ166" s="367"/>
      <c r="AR166" s="367"/>
      <c r="AS166" s="367"/>
      <c r="AT166" s="367"/>
      <c r="AU166" s="367"/>
      <c r="AV166" s="365">
        <v>0</v>
      </c>
      <c r="AW166" s="258"/>
      <c r="AX166" s="424"/>
      <c r="AY166" s="367"/>
      <c r="AZ166" s="192"/>
    </row>
    <row r="167" spans="1:105" ht="24" hidden="1" customHeight="1" thickBot="1" x14ac:dyDescent="0.55000000000000004">
      <c r="A167" s="552"/>
      <c r="B167" s="972"/>
      <c r="C167" s="973"/>
      <c r="D167" s="973"/>
      <c r="E167" s="973"/>
      <c r="F167" s="973"/>
      <c r="G167" s="973"/>
      <c r="H167" s="546"/>
      <c r="I167" s="986"/>
      <c r="J167" s="986"/>
      <c r="K167" s="986"/>
      <c r="L167" s="248"/>
      <c r="Y167" s="520"/>
      <c r="Z167" s="522"/>
      <c r="AA167" s="522"/>
      <c r="AB167" s="192"/>
      <c r="AC167" s="192"/>
      <c r="AD167" s="192"/>
      <c r="AE167" s="764"/>
      <c r="AF167" s="764"/>
      <c r="AG167" s="764"/>
      <c r="AH167" s="764"/>
      <c r="AI167" s="764"/>
      <c r="AJ167" s="764"/>
      <c r="AK167" s="764"/>
      <c r="AL167" s="764"/>
      <c r="AM167" s="367"/>
      <c r="AN167" s="367"/>
      <c r="AO167" s="367"/>
      <c r="AP167" s="367"/>
      <c r="AQ167" s="367"/>
      <c r="AR167" s="367"/>
      <c r="AS167" s="367"/>
      <c r="AT167" s="367"/>
      <c r="AU167" s="367"/>
      <c r="AV167" s="421"/>
      <c r="AW167" s="258"/>
      <c r="AX167" s="424"/>
      <c r="AY167" s="367"/>
      <c r="AZ167" s="192"/>
    </row>
    <row r="168" spans="1:105" ht="18" hidden="1" customHeight="1" thickBot="1" x14ac:dyDescent="0.5">
      <c r="A168" s="553"/>
      <c r="B168" s="1024"/>
      <c r="C168" s="1025"/>
      <c r="D168" s="1025"/>
      <c r="E168" s="1025"/>
      <c r="F168" s="1025"/>
      <c r="G168" s="1025"/>
      <c r="H168" s="547"/>
      <c r="I168" s="548"/>
      <c r="J168" s="548"/>
      <c r="K168" s="548"/>
      <c r="L168" s="374"/>
      <c r="Y168" s="521"/>
      <c r="Z168" s="523"/>
      <c r="AA168" s="523"/>
      <c r="AB168" s="192"/>
      <c r="AC168" s="192"/>
      <c r="AD168" s="192"/>
      <c r="AE168" s="765"/>
      <c r="AF168" s="765"/>
      <c r="AG168" s="765"/>
      <c r="AH168" s="765"/>
      <c r="AI168" s="765"/>
      <c r="AJ168" s="765"/>
      <c r="AK168" s="765"/>
      <c r="AL168" s="765"/>
      <c r="AM168" s="390"/>
      <c r="AN168" s="390"/>
      <c r="AO168" s="390"/>
      <c r="AP168" s="390"/>
      <c r="AQ168" s="390"/>
      <c r="AR168" s="390"/>
      <c r="AS168" s="390"/>
      <c r="AT168" s="390"/>
      <c r="AU168" s="390"/>
      <c r="AV168" s="378">
        <f>SUM(AV143:AV166)</f>
        <v>0</v>
      </c>
      <c r="AW168" s="258"/>
      <c r="AX168" s="424"/>
      <c r="AY168" s="367"/>
      <c r="AZ168" s="192"/>
    </row>
    <row r="169" spans="1:105" ht="18.5" hidden="1" x14ac:dyDescent="0.45">
      <c r="A169" s="425" t="s">
        <v>108</v>
      </c>
      <c r="B169" s="337"/>
      <c r="C169" s="337"/>
      <c r="D169" s="337"/>
      <c r="E169" s="426"/>
      <c r="F169" s="426"/>
      <c r="G169" s="381"/>
      <c r="H169" s="426"/>
      <c r="I169" s="426"/>
      <c r="J169" s="427"/>
      <c r="K169" s="428"/>
      <c r="L169" s="248"/>
      <c r="Y169" s="524"/>
      <c r="Z169" s="524"/>
      <c r="AA169" s="524"/>
      <c r="AB169" s="258"/>
      <c r="AC169" s="258"/>
      <c r="AD169" s="258"/>
      <c r="AE169" s="766"/>
      <c r="AF169" s="766"/>
      <c r="AG169" s="766"/>
      <c r="AH169" s="766"/>
      <c r="AI169" s="766"/>
      <c r="AJ169" s="766"/>
      <c r="AK169" s="766"/>
      <c r="AL169" s="766"/>
      <c r="AM169" s="429"/>
      <c r="AN169" s="429"/>
      <c r="AO169" s="429"/>
      <c r="AP169" s="429"/>
      <c r="AQ169" s="429"/>
      <c r="AR169" s="429"/>
      <c r="AS169" s="429"/>
      <c r="AT169" s="429"/>
      <c r="AU169" s="429"/>
      <c r="AV169" s="429"/>
      <c r="AW169" s="258"/>
      <c r="AX169" s="429"/>
      <c r="AY169" s="429"/>
      <c r="AZ169" s="430"/>
    </row>
    <row r="170" spans="1:105" s="178" customFormat="1" ht="18.5" hidden="1" x14ac:dyDescent="0.45">
      <c r="A170" s="431" t="s">
        <v>111</v>
      </c>
      <c r="B170" s="309"/>
      <c r="C170" s="309"/>
      <c r="D170" s="309"/>
      <c r="E170" s="309"/>
      <c r="F170" s="309"/>
      <c r="G170" s="309"/>
      <c r="H170" s="309"/>
      <c r="I170" s="309"/>
      <c r="J170" s="309"/>
      <c r="K170" s="309"/>
      <c r="L170" s="251"/>
      <c r="M170" s="175"/>
      <c r="N170" s="473"/>
      <c r="O170" s="467"/>
      <c r="P170" s="467"/>
      <c r="Q170" s="467"/>
      <c r="R170" s="467"/>
      <c r="S170" s="467"/>
      <c r="T170" s="467"/>
      <c r="U170" s="467"/>
      <c r="V170" s="467"/>
      <c r="W170" s="467"/>
      <c r="X170" s="467"/>
      <c r="Y170" s="469"/>
      <c r="Z170" s="469"/>
      <c r="AA170" s="469"/>
      <c r="AB170" s="256"/>
      <c r="AC170" s="256"/>
      <c r="AD170" s="256"/>
      <c r="AE170" s="764"/>
      <c r="AF170" s="764"/>
      <c r="AG170" s="764"/>
      <c r="AH170" s="764"/>
      <c r="AI170" s="764"/>
      <c r="AJ170" s="764"/>
      <c r="AK170" s="764"/>
      <c r="AL170" s="764"/>
      <c r="AM170" s="192"/>
      <c r="AN170" s="192"/>
      <c r="AO170" s="192"/>
      <c r="AP170" s="192"/>
      <c r="AQ170" s="192"/>
      <c r="AR170" s="192"/>
      <c r="AS170" s="192"/>
      <c r="AT170" s="192"/>
      <c r="AU170" s="192"/>
      <c r="AV170" s="192"/>
      <c r="AW170" s="192"/>
      <c r="AX170" s="192"/>
      <c r="AY170" s="192"/>
      <c r="AZ170" s="192"/>
      <c r="BA170" s="176"/>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M170" s="179"/>
      <c r="CN170" s="179"/>
      <c r="CO170" s="179"/>
      <c r="CP170" s="179"/>
      <c r="CQ170" s="179"/>
      <c r="CR170" s="179"/>
      <c r="CS170" s="179"/>
      <c r="CT170" s="179"/>
      <c r="CU170" s="179"/>
      <c r="CV170" s="179"/>
      <c r="CW170" s="179"/>
      <c r="CX170" s="179"/>
      <c r="CY170" s="179"/>
      <c r="CZ170" s="179"/>
    </row>
    <row r="171" spans="1:105" s="178" customFormat="1" ht="18.5" hidden="1" x14ac:dyDescent="0.45">
      <c r="A171" s="432"/>
      <c r="B171" s="338"/>
      <c r="C171" s="338"/>
      <c r="D171" s="338"/>
      <c r="E171" s="338"/>
      <c r="F171" s="338"/>
      <c r="G171" s="338"/>
      <c r="H171" s="338"/>
      <c r="I171" s="338"/>
      <c r="J171" s="338"/>
      <c r="K171" s="338"/>
      <c r="L171" s="251"/>
      <c r="M171" s="175"/>
      <c r="N171" s="473"/>
      <c r="O171" s="467"/>
      <c r="P171" s="467"/>
      <c r="Q171" s="467"/>
      <c r="R171" s="467"/>
      <c r="S171" s="467"/>
      <c r="T171" s="467"/>
      <c r="U171" s="467"/>
      <c r="V171" s="467"/>
      <c r="W171" s="467"/>
      <c r="X171" s="467"/>
      <c r="Y171" s="469"/>
      <c r="Z171" s="469"/>
      <c r="AA171" s="469"/>
      <c r="AB171" s="258"/>
      <c r="AC171" s="258"/>
      <c r="AD171" s="258"/>
      <c r="AE171" s="764"/>
      <c r="AF171" s="764"/>
      <c r="AG171" s="764"/>
      <c r="AH171" s="764"/>
      <c r="AI171" s="764"/>
      <c r="AJ171" s="764"/>
      <c r="AK171" s="764"/>
      <c r="AL171" s="764"/>
      <c r="AM171" s="192"/>
      <c r="AN171" s="192"/>
      <c r="AO171" s="192"/>
      <c r="AP171" s="192"/>
      <c r="AQ171" s="192"/>
      <c r="AR171" s="192"/>
      <c r="AS171" s="192"/>
      <c r="AT171" s="192"/>
      <c r="AU171" s="192"/>
      <c r="AV171" s="192"/>
      <c r="AW171" s="192"/>
      <c r="AX171" s="192"/>
      <c r="AY171" s="192"/>
      <c r="AZ171" s="192"/>
      <c r="BA171" s="176"/>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M171" s="179"/>
      <c r="CN171" s="179"/>
      <c r="CO171" s="179"/>
      <c r="CP171" s="179"/>
      <c r="CQ171" s="179"/>
      <c r="CR171" s="179"/>
      <c r="CS171" s="179"/>
      <c r="CT171" s="179"/>
      <c r="CU171" s="179"/>
      <c r="CV171" s="179"/>
      <c r="CW171" s="179"/>
      <c r="CX171" s="179"/>
      <c r="CY171" s="179"/>
      <c r="CZ171" s="179"/>
    </row>
    <row r="172" spans="1:105" s="178" customFormat="1" ht="16.5" hidden="1" customHeight="1" x14ac:dyDescent="0.35">
      <c r="A172" s="1019"/>
      <c r="B172" s="1020"/>
      <c r="C172" s="1020"/>
      <c r="D172" s="1020"/>
      <c r="E172" s="1020"/>
      <c r="F172" s="1020"/>
      <c r="G172" s="1020"/>
      <c r="H172" s="1020"/>
      <c r="I172" s="1020"/>
      <c r="J172" s="1020"/>
      <c r="K172" s="1020"/>
      <c r="L172" s="183"/>
      <c r="M172" s="175"/>
      <c r="N172" s="473"/>
      <c r="O172" s="467"/>
      <c r="P172" s="467"/>
      <c r="Q172" s="467"/>
      <c r="R172" s="467"/>
      <c r="S172" s="467"/>
      <c r="T172" s="467"/>
      <c r="U172" s="467"/>
      <c r="V172" s="467"/>
      <c r="W172" s="467"/>
      <c r="X172" s="467"/>
      <c r="Y172" s="469"/>
      <c r="Z172" s="469"/>
      <c r="AA172" s="469"/>
      <c r="AB172" s="256"/>
      <c r="AC172" s="256"/>
      <c r="AD172" s="256"/>
      <c r="AE172" s="764"/>
      <c r="AF172" s="764"/>
      <c r="AG172" s="764"/>
      <c r="AH172" s="764"/>
      <c r="AI172" s="764"/>
      <c r="AJ172" s="764"/>
      <c r="AK172" s="764"/>
      <c r="AL172" s="764"/>
      <c r="AM172" s="192"/>
      <c r="AN172" s="192"/>
      <c r="AO172" s="192"/>
      <c r="AP172" s="192"/>
      <c r="AQ172" s="192"/>
      <c r="AR172" s="192"/>
      <c r="AS172" s="192"/>
      <c r="AT172" s="192"/>
      <c r="AU172" s="192"/>
      <c r="AV172" s="192"/>
      <c r="AW172" s="192"/>
      <c r="AX172" s="192"/>
      <c r="AY172" s="192"/>
      <c r="AZ172" s="192"/>
      <c r="BA172" s="176"/>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M172" s="179"/>
      <c r="CN172" s="179"/>
      <c r="CO172" s="179"/>
      <c r="CP172" s="179"/>
      <c r="CQ172" s="179"/>
      <c r="CR172" s="179"/>
      <c r="CS172" s="179"/>
      <c r="CT172" s="179"/>
      <c r="CU172" s="179"/>
      <c r="CV172" s="179"/>
      <c r="CW172" s="179"/>
      <c r="CX172" s="179"/>
      <c r="CY172" s="179"/>
      <c r="CZ172" s="179"/>
    </row>
    <row r="173" spans="1:105" ht="16" hidden="1" thickBot="1" x14ac:dyDescent="0.4">
      <c r="A173" s="1019"/>
      <c r="B173" s="1020"/>
      <c r="C173" s="1020"/>
      <c r="D173" s="1020"/>
      <c r="E173" s="1020"/>
      <c r="F173" s="1020"/>
      <c r="G173" s="1020"/>
      <c r="H173" s="1020"/>
      <c r="I173" s="1020"/>
      <c r="J173" s="1020"/>
      <c r="K173" s="1020"/>
      <c r="L173" s="183"/>
      <c r="N173" s="467"/>
      <c r="Y173" s="523"/>
      <c r="Z173" s="523"/>
      <c r="AA173" s="523"/>
      <c r="AB173" s="192"/>
      <c r="AC173" s="433"/>
      <c r="AD173" s="192"/>
      <c r="AE173" s="759"/>
      <c r="AF173" s="759"/>
      <c r="AG173" s="759"/>
      <c r="AH173" s="759"/>
      <c r="AI173" s="759"/>
      <c r="AJ173" s="759"/>
      <c r="AK173" s="759"/>
      <c r="AL173" s="759"/>
      <c r="AM173" s="258"/>
      <c r="AN173" s="258"/>
      <c r="AO173" s="258"/>
      <c r="AP173" s="258"/>
      <c r="AQ173" s="258"/>
      <c r="AR173" s="258"/>
      <c r="AS173" s="258"/>
      <c r="AT173" s="258"/>
      <c r="AU173" s="258"/>
      <c r="AV173" s="258"/>
      <c r="AW173" s="258"/>
      <c r="AX173" s="258"/>
      <c r="AY173" s="258"/>
      <c r="AZ173" s="258"/>
    </row>
    <row r="174" spans="1:105" s="246" customFormat="1" ht="43.5" hidden="1" customHeight="1" x14ac:dyDescent="0.35">
      <c r="A174" s="1021" t="s">
        <v>233</v>
      </c>
      <c r="B174" s="1022"/>
      <c r="C174" s="1022"/>
      <c r="D174" s="1022"/>
      <c r="E174" s="1022"/>
      <c r="F174" s="1022"/>
      <c r="G174" s="1022"/>
      <c r="H174" s="1022"/>
      <c r="I174" s="1022"/>
      <c r="J174" s="1022"/>
      <c r="K174" s="1022"/>
      <c r="L174" s="1023"/>
      <c r="M174" s="287"/>
      <c r="N174" s="467"/>
      <c r="O174" s="474"/>
      <c r="P174" s="474"/>
      <c r="Q174" s="474"/>
      <c r="R174" s="474"/>
      <c r="S174" s="474"/>
      <c r="T174" s="474"/>
      <c r="U174" s="474"/>
      <c r="V174" s="474"/>
      <c r="W174" s="474"/>
      <c r="X174" s="474"/>
      <c r="Y174" s="474"/>
      <c r="Z174" s="474"/>
      <c r="AA174" s="474"/>
      <c r="AB174" s="256"/>
      <c r="AC174" s="256"/>
      <c r="AD174" s="256"/>
      <c r="AE174" s="759"/>
      <c r="AF174" s="759"/>
      <c r="AG174" s="759"/>
      <c r="AH174" s="759"/>
      <c r="AI174" s="759"/>
      <c r="AJ174" s="759"/>
      <c r="AK174" s="759"/>
      <c r="AL174" s="759"/>
      <c r="AM174" s="256"/>
      <c r="AN174" s="256"/>
      <c r="AO174" s="256"/>
      <c r="AP174" s="256"/>
      <c r="AQ174" s="256"/>
      <c r="AR174" s="256"/>
      <c r="AS174" s="256"/>
      <c r="AT174" s="256"/>
      <c r="AU174" s="256"/>
      <c r="AV174" s="256"/>
      <c r="AW174" s="256"/>
      <c r="AX174" s="256"/>
      <c r="AY174" s="256"/>
      <c r="AZ174" s="256"/>
      <c r="BA174" s="256"/>
    </row>
    <row r="175" spans="1:105" ht="21.75" hidden="1" customHeight="1" x14ac:dyDescent="0.45">
      <c r="A175" s="924"/>
      <c r="B175" s="925"/>
      <c r="C175" s="925"/>
      <c r="D175" s="925"/>
      <c r="E175" s="925"/>
      <c r="F175" s="925"/>
      <c r="G175" s="925"/>
      <c r="H175" s="925"/>
      <c r="I175" s="925"/>
      <c r="J175" s="925"/>
      <c r="K175" s="925"/>
      <c r="L175" s="926"/>
      <c r="M175" s="281"/>
      <c r="N175" s="525"/>
      <c r="O175" s="526"/>
      <c r="Y175" s="523"/>
      <c r="Z175" s="523"/>
      <c r="AA175" s="523"/>
      <c r="AB175" s="192"/>
      <c r="AC175" s="192"/>
      <c r="AD175" s="192"/>
      <c r="AE175" s="759"/>
      <c r="AF175" s="759"/>
      <c r="AG175" s="759"/>
      <c r="AH175" s="759"/>
      <c r="AI175" s="759"/>
      <c r="AJ175" s="759"/>
      <c r="AK175" s="759"/>
      <c r="AL175" s="759"/>
      <c r="AM175" s="258"/>
      <c r="AN175" s="258"/>
      <c r="AO175" s="258"/>
      <c r="AP175" s="258"/>
      <c r="AQ175" s="258"/>
      <c r="AR175" s="258"/>
      <c r="AS175" s="258"/>
      <c r="AT175" s="258"/>
      <c r="AU175" s="258"/>
      <c r="AV175" s="258"/>
      <c r="AW175" s="258"/>
      <c r="AX175" s="258"/>
      <c r="AY175" s="258"/>
      <c r="AZ175" s="258"/>
    </row>
    <row r="176" spans="1:105" s="246" customFormat="1" ht="20.25" hidden="1" customHeight="1" x14ac:dyDescent="0.45">
      <c r="A176" s="924"/>
      <c r="B176" s="925"/>
      <c r="C176" s="925"/>
      <c r="D176" s="925"/>
      <c r="E176" s="925"/>
      <c r="F176" s="925"/>
      <c r="G176" s="925"/>
      <c r="H176" s="925"/>
      <c r="I176" s="925"/>
      <c r="J176" s="925"/>
      <c r="K176" s="925"/>
      <c r="L176" s="926"/>
      <c r="N176" s="527"/>
      <c r="O176" s="526"/>
      <c r="P176" s="474"/>
      <c r="Q176" s="474"/>
      <c r="R176" s="474"/>
      <c r="S176" s="474"/>
      <c r="T176" s="474"/>
      <c r="U176" s="474"/>
      <c r="V176" s="474"/>
      <c r="W176" s="474"/>
      <c r="X176" s="474"/>
      <c r="Y176" s="474"/>
      <c r="Z176" s="474"/>
      <c r="AA176" s="474"/>
      <c r="AB176" s="422"/>
      <c r="AC176" s="258"/>
      <c r="AD176" s="423"/>
      <c r="AE176" s="759"/>
      <c r="AF176" s="759"/>
      <c r="AG176" s="759"/>
      <c r="AH176" s="759"/>
      <c r="AI176" s="759"/>
      <c r="AJ176" s="759"/>
      <c r="AK176" s="759"/>
      <c r="AL176" s="759"/>
      <c r="AM176" s="256"/>
      <c r="AN176" s="256"/>
      <c r="AO176" s="256"/>
      <c r="AP176" s="256"/>
      <c r="AQ176" s="256"/>
      <c r="AR176" s="256"/>
      <c r="AS176" s="256"/>
      <c r="AT176" s="256"/>
      <c r="AU176" s="256"/>
      <c r="AV176" s="256"/>
      <c r="AW176" s="256"/>
      <c r="AX176" s="256"/>
      <c r="AY176" s="256"/>
      <c r="AZ176" s="256"/>
      <c r="BA176" s="256"/>
    </row>
    <row r="177" spans="1:104" s="246" customFormat="1" ht="20.25" hidden="1" customHeight="1" x14ac:dyDescent="0.45">
      <c r="A177" s="924"/>
      <c r="B177" s="925"/>
      <c r="C177" s="925"/>
      <c r="D177" s="925"/>
      <c r="E177" s="925"/>
      <c r="F177" s="925"/>
      <c r="G177" s="925"/>
      <c r="H177" s="925"/>
      <c r="I177" s="925"/>
      <c r="J177" s="925"/>
      <c r="K177" s="925"/>
      <c r="L177" s="926"/>
      <c r="N177" s="527"/>
      <c r="O177" s="528"/>
      <c r="P177" s="474"/>
      <c r="Q177" s="474"/>
      <c r="R177" s="474"/>
      <c r="S177" s="474"/>
      <c r="T177" s="474"/>
      <c r="U177" s="474"/>
      <c r="V177" s="474"/>
      <c r="W177" s="474"/>
      <c r="X177" s="474"/>
      <c r="Y177" s="474"/>
      <c r="Z177" s="474"/>
      <c r="AA177" s="474"/>
      <c r="AB177" s="422"/>
      <c r="AC177" s="258"/>
      <c r="AD177" s="423"/>
      <c r="AE177" s="759"/>
      <c r="AF177" s="759"/>
      <c r="AG177" s="759"/>
      <c r="AH177" s="759"/>
      <c r="AI177" s="759"/>
      <c r="AJ177" s="759"/>
      <c r="AK177" s="759"/>
      <c r="AL177" s="759"/>
      <c r="AM177" s="256"/>
      <c r="AN177" s="256"/>
      <c r="AO177" s="256"/>
      <c r="AP177" s="256"/>
      <c r="AQ177" s="256"/>
      <c r="AR177" s="256"/>
      <c r="AS177" s="256"/>
      <c r="AT177" s="256"/>
      <c r="AU177" s="256"/>
      <c r="AV177" s="256"/>
      <c r="AW177" s="256"/>
      <c r="AX177" s="256"/>
      <c r="AY177" s="256"/>
      <c r="AZ177" s="256"/>
      <c r="BA177" s="256"/>
    </row>
    <row r="178" spans="1:104" s="246" customFormat="1" ht="20.25" hidden="1" customHeight="1" x14ac:dyDescent="0.45">
      <c r="A178" s="924"/>
      <c r="B178" s="925"/>
      <c r="C178" s="925"/>
      <c r="D178" s="925"/>
      <c r="E178" s="925"/>
      <c r="F178" s="925"/>
      <c r="G178" s="925"/>
      <c r="H178" s="925"/>
      <c r="I178" s="925"/>
      <c r="J178" s="925"/>
      <c r="K178" s="925"/>
      <c r="L178" s="926"/>
      <c r="N178" s="527"/>
      <c r="O178" s="528"/>
      <c r="P178" s="474"/>
      <c r="Q178" s="474"/>
      <c r="R178" s="474"/>
      <c r="S178" s="474"/>
      <c r="T178" s="474"/>
      <c r="U178" s="474"/>
      <c r="V178" s="474"/>
      <c r="W178" s="474"/>
      <c r="X178" s="474"/>
      <c r="Y178" s="474"/>
      <c r="Z178" s="474"/>
      <c r="AA178" s="474"/>
      <c r="AB178" s="422"/>
      <c r="AC178" s="258"/>
      <c r="AD178" s="423"/>
      <c r="AE178" s="759"/>
      <c r="AF178" s="759"/>
      <c r="AG178" s="759"/>
      <c r="AH178" s="759"/>
      <c r="AI178" s="759"/>
      <c r="AJ178" s="759"/>
      <c r="AK178" s="759"/>
      <c r="AL178" s="759"/>
      <c r="AM178" s="256"/>
      <c r="AN178" s="256"/>
      <c r="AO178" s="256"/>
      <c r="AP178" s="256"/>
      <c r="AQ178" s="256"/>
      <c r="AR178" s="256"/>
      <c r="AS178" s="256"/>
      <c r="AT178" s="256"/>
      <c r="AU178" s="256"/>
      <c r="AV178" s="256"/>
      <c r="AW178" s="256"/>
      <c r="AX178" s="256"/>
      <c r="AY178" s="256"/>
      <c r="AZ178" s="256"/>
      <c r="BA178" s="256"/>
    </row>
    <row r="179" spans="1:104" s="246" customFormat="1" ht="20.25" hidden="1" customHeight="1" x14ac:dyDescent="0.45">
      <c r="A179" s="924"/>
      <c r="B179" s="925"/>
      <c r="C179" s="925"/>
      <c r="D179" s="925"/>
      <c r="E179" s="925"/>
      <c r="F179" s="925"/>
      <c r="G179" s="925"/>
      <c r="H179" s="925"/>
      <c r="I179" s="925"/>
      <c r="J179" s="925"/>
      <c r="K179" s="925"/>
      <c r="L179" s="926"/>
      <c r="N179" s="527"/>
      <c r="O179" s="528"/>
      <c r="P179" s="474"/>
      <c r="Q179" s="474"/>
      <c r="R179" s="474"/>
      <c r="S179" s="474"/>
      <c r="T179" s="474"/>
      <c r="U179" s="474"/>
      <c r="V179" s="474"/>
      <c r="W179" s="474"/>
      <c r="X179" s="474"/>
      <c r="Y179" s="474"/>
      <c r="Z179" s="474"/>
      <c r="AA179" s="474"/>
      <c r="AB179" s="422"/>
      <c r="AC179" s="258"/>
      <c r="AD179" s="423"/>
      <c r="AE179" s="759"/>
      <c r="AF179" s="759"/>
      <c r="AG179" s="759"/>
      <c r="AH179" s="759"/>
      <c r="AI179" s="759"/>
      <c r="AJ179" s="759"/>
      <c r="AK179" s="759"/>
      <c r="AL179" s="759"/>
      <c r="AM179" s="256"/>
      <c r="AN179" s="256"/>
      <c r="AO179" s="256"/>
      <c r="AP179" s="256"/>
      <c r="AQ179" s="256"/>
      <c r="AR179" s="256"/>
      <c r="AS179" s="256"/>
      <c r="AT179" s="256"/>
      <c r="AU179" s="256"/>
      <c r="AV179" s="256"/>
      <c r="AW179" s="256"/>
      <c r="AX179" s="256"/>
      <c r="AY179" s="256"/>
      <c r="AZ179" s="256"/>
      <c r="BA179" s="256"/>
    </row>
    <row r="180" spans="1:104" s="246" customFormat="1" ht="20.25" hidden="1" customHeight="1" x14ac:dyDescent="0.45">
      <c r="A180" s="924"/>
      <c r="B180" s="925"/>
      <c r="C180" s="925"/>
      <c r="D180" s="925"/>
      <c r="E180" s="925"/>
      <c r="F180" s="925"/>
      <c r="G180" s="925"/>
      <c r="H180" s="925"/>
      <c r="I180" s="925"/>
      <c r="J180" s="925"/>
      <c r="K180" s="925"/>
      <c r="L180" s="926"/>
      <c r="N180" s="527"/>
      <c r="O180" s="528"/>
      <c r="P180" s="474"/>
      <c r="Q180" s="474"/>
      <c r="R180" s="474"/>
      <c r="S180" s="474"/>
      <c r="T180" s="474"/>
      <c r="U180" s="474"/>
      <c r="V180" s="474"/>
      <c r="W180" s="474"/>
      <c r="X180" s="474"/>
      <c r="Y180" s="474"/>
      <c r="Z180" s="474"/>
      <c r="AA180" s="474"/>
      <c r="AB180" s="422"/>
      <c r="AC180" s="258"/>
      <c r="AD180" s="423"/>
      <c r="AE180" s="759"/>
      <c r="AF180" s="759"/>
      <c r="AG180" s="759"/>
      <c r="AH180" s="759"/>
      <c r="AI180" s="759"/>
      <c r="AJ180" s="759"/>
      <c r="AK180" s="759"/>
      <c r="AL180" s="759"/>
      <c r="AM180" s="256"/>
      <c r="AN180" s="256"/>
      <c r="AO180" s="256"/>
      <c r="AP180" s="256"/>
      <c r="AQ180" s="256"/>
      <c r="AR180" s="256"/>
      <c r="AS180" s="256"/>
      <c r="AT180" s="256"/>
      <c r="AU180" s="256"/>
      <c r="AV180" s="256"/>
      <c r="AW180" s="256"/>
      <c r="AX180" s="256"/>
      <c r="AY180" s="256"/>
      <c r="AZ180" s="256"/>
      <c r="BA180" s="256"/>
    </row>
    <row r="181" spans="1:104" s="246" customFormat="1" ht="20.25" hidden="1" customHeight="1" thickBot="1" x14ac:dyDescent="0.5">
      <c r="A181" s="921"/>
      <c r="B181" s="922"/>
      <c r="C181" s="922"/>
      <c r="D181" s="922"/>
      <c r="E181" s="922"/>
      <c r="F181" s="922"/>
      <c r="G181" s="922"/>
      <c r="H181" s="922"/>
      <c r="I181" s="922"/>
      <c r="J181" s="922"/>
      <c r="K181" s="922"/>
      <c r="L181" s="923"/>
      <c r="N181" s="527"/>
      <c r="O181" s="528"/>
      <c r="P181" s="474"/>
      <c r="Q181" s="474"/>
      <c r="R181" s="474"/>
      <c r="S181" s="474"/>
      <c r="T181" s="474"/>
      <c r="U181" s="474"/>
      <c r="V181" s="474"/>
      <c r="W181" s="474"/>
      <c r="X181" s="474"/>
      <c r="Y181" s="474"/>
      <c r="Z181" s="474"/>
      <c r="AA181" s="474"/>
      <c r="AB181" s="422"/>
      <c r="AC181" s="258"/>
      <c r="AD181" s="423"/>
      <c r="AE181" s="759"/>
      <c r="AF181" s="759"/>
      <c r="AG181" s="759"/>
      <c r="AH181" s="759"/>
      <c r="AI181" s="759"/>
      <c r="AJ181" s="759"/>
      <c r="AK181" s="759"/>
      <c r="AL181" s="759"/>
      <c r="AM181" s="256"/>
      <c r="AN181" s="256"/>
      <c r="AO181" s="256"/>
      <c r="AP181" s="256"/>
      <c r="AQ181" s="256"/>
      <c r="AR181" s="256"/>
      <c r="AS181" s="256"/>
      <c r="AT181" s="256"/>
      <c r="AU181" s="256"/>
      <c r="AV181" s="256"/>
      <c r="AW181" s="256"/>
      <c r="AX181" s="256"/>
      <c r="AY181" s="256"/>
      <c r="AZ181" s="256"/>
      <c r="BA181" s="256"/>
    </row>
    <row r="182" spans="1:104" s="246" customFormat="1" ht="20.25" hidden="1" customHeight="1" x14ac:dyDescent="0.35">
      <c r="A182" s="250"/>
      <c r="B182" s="250"/>
      <c r="C182" s="250"/>
      <c r="D182" s="250"/>
      <c r="N182" s="527"/>
      <c r="O182" s="528"/>
      <c r="P182" s="474"/>
      <c r="Q182" s="474"/>
      <c r="R182" s="474"/>
      <c r="S182" s="474"/>
      <c r="T182" s="474"/>
      <c r="U182" s="474"/>
      <c r="V182" s="474"/>
      <c r="W182" s="474"/>
      <c r="X182" s="474"/>
      <c r="Y182" s="474"/>
      <c r="Z182" s="474"/>
      <c r="AA182" s="474"/>
      <c r="AB182" s="422"/>
      <c r="AC182" s="258"/>
      <c r="AD182" s="423"/>
      <c r="AE182" s="759"/>
      <c r="AF182" s="759"/>
      <c r="AG182" s="759"/>
      <c r="AH182" s="759"/>
      <c r="AI182" s="759"/>
      <c r="AJ182" s="759"/>
      <c r="AK182" s="759"/>
      <c r="AL182" s="759"/>
      <c r="AM182" s="256"/>
      <c r="AN182" s="256"/>
      <c r="AO182" s="256"/>
      <c r="AP182" s="256"/>
      <c r="AQ182" s="256"/>
      <c r="AR182" s="256"/>
      <c r="AS182" s="256"/>
      <c r="AT182" s="256"/>
      <c r="AU182" s="256"/>
      <c r="AV182" s="256"/>
      <c r="AW182" s="256"/>
      <c r="AX182" s="256"/>
      <c r="AY182" s="256"/>
      <c r="AZ182" s="256"/>
      <c r="BA182" s="256"/>
    </row>
    <row r="183" spans="1:104" s="246" customFormat="1" ht="20.25" hidden="1" customHeight="1" x14ac:dyDescent="0.35">
      <c r="A183" s="250"/>
      <c r="B183" s="250"/>
      <c r="C183" s="250"/>
      <c r="D183" s="250"/>
      <c r="N183" s="527"/>
      <c r="O183" s="528"/>
      <c r="P183" s="474"/>
      <c r="Q183" s="474"/>
      <c r="R183" s="474"/>
      <c r="S183" s="474"/>
      <c r="T183" s="474"/>
      <c r="U183" s="474"/>
      <c r="V183" s="474"/>
      <c r="W183" s="474"/>
      <c r="X183" s="474"/>
      <c r="Y183" s="474"/>
      <c r="Z183" s="474"/>
      <c r="AA183" s="474"/>
      <c r="AB183" s="422"/>
      <c r="AC183" s="258"/>
      <c r="AD183" s="423"/>
      <c r="AE183" s="759"/>
      <c r="AF183" s="759"/>
      <c r="AG183" s="759"/>
      <c r="AH183" s="759"/>
      <c r="AI183" s="759"/>
      <c r="AJ183" s="759"/>
      <c r="AK183" s="759"/>
      <c r="AL183" s="759"/>
      <c r="AM183" s="256"/>
      <c r="AN183" s="256"/>
      <c r="AO183" s="256"/>
      <c r="AP183" s="256"/>
      <c r="AQ183" s="256"/>
      <c r="AR183" s="256"/>
      <c r="AS183" s="256"/>
      <c r="AT183" s="256"/>
      <c r="AU183" s="256"/>
      <c r="AV183" s="256"/>
      <c r="AW183" s="256"/>
      <c r="AX183" s="256"/>
      <c r="AY183" s="256"/>
      <c r="AZ183" s="256"/>
      <c r="BA183" s="256"/>
    </row>
    <row r="184" spans="1:104" s="246" customFormat="1" ht="20.25" hidden="1" customHeight="1" x14ac:dyDescent="0.35">
      <c r="A184" s="1026" t="s">
        <v>630</v>
      </c>
      <c r="B184" s="1027"/>
      <c r="C184" s="1027"/>
      <c r="D184" s="250"/>
      <c r="N184" s="527"/>
      <c r="O184" s="528"/>
      <c r="P184" s="474"/>
      <c r="Q184" s="474"/>
      <c r="R184" s="474"/>
      <c r="S184" s="474"/>
      <c r="T184" s="474"/>
      <c r="U184" s="474"/>
      <c r="V184" s="474"/>
      <c r="W184" s="474"/>
      <c r="X184" s="474"/>
      <c r="Y184" s="474"/>
      <c r="Z184" s="474"/>
      <c r="AA184" s="474"/>
      <c r="AB184" s="422"/>
      <c r="AC184" s="258"/>
      <c r="AD184" s="423"/>
      <c r="AE184" s="759"/>
      <c r="AF184" s="759"/>
      <c r="AG184" s="759"/>
      <c r="AH184" s="759"/>
      <c r="AI184" s="759"/>
      <c r="AJ184" s="759"/>
      <c r="AK184" s="759"/>
      <c r="AL184" s="759"/>
      <c r="AM184" s="256"/>
      <c r="AN184" s="256"/>
      <c r="AO184" s="256"/>
      <c r="AP184" s="256"/>
      <c r="AQ184" s="256"/>
      <c r="AR184" s="256"/>
      <c r="AS184" s="256"/>
      <c r="AT184" s="256"/>
      <c r="AU184" s="256"/>
      <c r="AV184" s="256"/>
      <c r="AW184" s="256"/>
      <c r="AX184" s="256"/>
      <c r="AY184" s="256"/>
      <c r="AZ184" s="256"/>
      <c r="BA184" s="256"/>
    </row>
    <row r="185" spans="1:104" s="178" customFormat="1" ht="39" hidden="1" customHeight="1" x14ac:dyDescent="0.35">
      <c r="A185" s="832" t="s">
        <v>23</v>
      </c>
      <c r="B185" s="833" t="s">
        <v>21</v>
      </c>
      <c r="C185" s="833" t="s">
        <v>98</v>
      </c>
      <c r="D185" s="568"/>
      <c r="E185" s="281"/>
      <c r="F185" s="281"/>
      <c r="G185" s="281"/>
      <c r="H185" s="281"/>
      <c r="I185" s="281"/>
      <c r="J185" s="281"/>
      <c r="K185" s="281"/>
      <c r="L185" s="281"/>
      <c r="M185" s="175"/>
      <c r="N185" s="467"/>
      <c r="O185" s="467"/>
      <c r="P185" s="467"/>
      <c r="Q185" s="467"/>
      <c r="R185" s="467"/>
      <c r="S185" s="467"/>
      <c r="T185" s="467"/>
      <c r="U185" s="467"/>
      <c r="V185" s="467"/>
      <c r="W185" s="467"/>
      <c r="X185" s="467"/>
      <c r="Y185" s="469"/>
      <c r="Z185" s="469"/>
      <c r="AA185" s="469"/>
      <c r="AB185" s="368"/>
      <c r="AC185" s="256"/>
      <c r="AD185" s="434"/>
      <c r="AE185" s="764"/>
      <c r="AF185" s="764"/>
      <c r="AG185" s="764"/>
      <c r="AH185" s="764"/>
      <c r="AI185" s="764"/>
      <c r="AJ185" s="764"/>
      <c r="AK185" s="764"/>
      <c r="AL185" s="764"/>
      <c r="AM185" s="192"/>
      <c r="AN185" s="192"/>
      <c r="AO185" s="192"/>
      <c r="AP185" s="192"/>
      <c r="AQ185" s="192"/>
      <c r="AR185" s="192"/>
      <c r="AS185" s="192"/>
      <c r="AT185" s="192"/>
      <c r="AU185" s="192"/>
      <c r="AV185" s="192"/>
      <c r="AW185" s="192"/>
      <c r="AX185" s="192"/>
      <c r="AY185" s="192"/>
      <c r="AZ185" s="192"/>
      <c r="BA185" s="176"/>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M185" s="179"/>
      <c r="CN185" s="179"/>
      <c r="CO185" s="179"/>
      <c r="CP185" s="179"/>
      <c r="CQ185" s="179"/>
      <c r="CR185" s="179"/>
      <c r="CS185" s="179"/>
      <c r="CT185" s="179"/>
      <c r="CU185" s="179"/>
      <c r="CV185" s="179"/>
      <c r="CW185" s="179"/>
      <c r="CX185" s="179"/>
      <c r="CY185" s="179"/>
      <c r="CZ185" s="179"/>
    </row>
    <row r="186" spans="1:104" s="246" customFormat="1" ht="19.5" hidden="1" customHeight="1" x14ac:dyDescent="0.35">
      <c r="A186" s="435">
        <v>5000</v>
      </c>
      <c r="B186" s="902">
        <v>1</v>
      </c>
      <c r="C186" s="436">
        <v>1</v>
      </c>
      <c r="D186" s="569"/>
      <c r="E186" s="281"/>
      <c r="F186" s="281"/>
      <c r="G186" s="281"/>
      <c r="H186" s="281"/>
      <c r="I186" s="281"/>
      <c r="J186" s="281"/>
      <c r="K186" s="281"/>
      <c r="L186" s="281"/>
      <c r="M186" s="287"/>
      <c r="N186" s="529"/>
      <c r="O186" s="474"/>
      <c r="P186" s="474"/>
      <c r="Q186" s="474"/>
      <c r="R186" s="474"/>
      <c r="S186" s="474"/>
      <c r="T186" s="474"/>
      <c r="U186" s="474"/>
      <c r="V186" s="474"/>
      <c r="W186" s="474"/>
      <c r="X186" s="474"/>
      <c r="Y186" s="474"/>
      <c r="Z186" s="474"/>
      <c r="AA186" s="474"/>
      <c r="AB186" s="437">
        <v>0</v>
      </c>
      <c r="AC186" s="256"/>
      <c r="AD186" s="438"/>
      <c r="AE186" s="759"/>
      <c r="AF186" s="759"/>
      <c r="AG186" s="759"/>
      <c r="AH186" s="759"/>
      <c r="AI186" s="759"/>
      <c r="AJ186" s="759"/>
      <c r="AK186" s="759"/>
      <c r="AL186" s="759"/>
      <c r="AM186" s="256"/>
      <c r="AN186" s="256"/>
      <c r="AO186" s="256"/>
      <c r="AP186" s="256"/>
      <c r="AQ186" s="256"/>
      <c r="AR186" s="256"/>
      <c r="AS186" s="256"/>
      <c r="AT186" s="256"/>
      <c r="AU186" s="256"/>
      <c r="AV186" s="256"/>
      <c r="AW186" s="256"/>
      <c r="AX186" s="256"/>
      <c r="AY186" s="256"/>
      <c r="AZ186" s="256"/>
      <c r="BA186" s="256"/>
    </row>
    <row r="187" spans="1:104" s="178" customFormat="1" ht="15.5" hidden="1" x14ac:dyDescent="0.35">
      <c r="A187" s="439">
        <v>10000</v>
      </c>
      <c r="B187" s="903">
        <v>1</v>
      </c>
      <c r="C187" s="440">
        <v>1</v>
      </c>
      <c r="D187" s="569"/>
      <c r="E187" s="281"/>
      <c r="F187" s="281"/>
      <c r="G187" s="281"/>
      <c r="H187" s="281"/>
      <c r="I187" s="281"/>
      <c r="J187" s="281"/>
      <c r="K187" s="281"/>
      <c r="L187" s="281"/>
      <c r="M187" s="175"/>
      <c r="N187" s="467"/>
      <c r="O187" s="467"/>
      <c r="P187" s="467"/>
      <c r="Q187" s="467"/>
      <c r="R187" s="467"/>
      <c r="S187" s="467"/>
      <c r="T187" s="467"/>
      <c r="U187" s="467"/>
      <c r="V187" s="467"/>
      <c r="W187" s="467"/>
      <c r="X187" s="467"/>
      <c r="Y187" s="469"/>
      <c r="Z187" s="469"/>
      <c r="AA187" s="469"/>
      <c r="AB187" s="437">
        <v>0</v>
      </c>
      <c r="AC187" s="258"/>
      <c r="AD187" s="438"/>
      <c r="AE187" s="764"/>
      <c r="AF187" s="764"/>
      <c r="AG187" s="764"/>
      <c r="AH187" s="764"/>
      <c r="AI187" s="764"/>
      <c r="AJ187" s="764"/>
      <c r="AK187" s="764"/>
      <c r="AL187" s="764"/>
      <c r="AM187" s="192"/>
      <c r="AN187" s="192"/>
      <c r="AO187" s="192"/>
      <c r="AP187" s="192"/>
      <c r="AQ187" s="192"/>
      <c r="AR187" s="192"/>
      <c r="AS187" s="192"/>
      <c r="AT187" s="192"/>
      <c r="AU187" s="192"/>
      <c r="AV187" s="192"/>
      <c r="AW187" s="192"/>
      <c r="AX187" s="192"/>
      <c r="AY187" s="192"/>
      <c r="AZ187" s="192"/>
      <c r="BA187" s="176"/>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M187" s="179"/>
      <c r="CN187" s="179"/>
      <c r="CO187" s="179"/>
      <c r="CP187" s="179"/>
      <c r="CQ187" s="179"/>
      <c r="CR187" s="179"/>
      <c r="CS187" s="179"/>
      <c r="CT187" s="179"/>
      <c r="CU187" s="179"/>
      <c r="CV187" s="179"/>
      <c r="CW187" s="179"/>
      <c r="CX187" s="179"/>
      <c r="CY187" s="179"/>
      <c r="CZ187" s="179"/>
    </row>
    <row r="188" spans="1:104" ht="12.75" hidden="1" customHeight="1" x14ac:dyDescent="0.35">
      <c r="A188" s="439">
        <v>15000</v>
      </c>
      <c r="B188" s="903">
        <v>0.99</v>
      </c>
      <c r="C188" s="440">
        <v>0.99</v>
      </c>
      <c r="D188" s="569"/>
      <c r="Y188" s="524"/>
      <c r="Z188" s="524"/>
      <c r="AA188" s="524"/>
      <c r="AB188" s="437">
        <v>0</v>
      </c>
      <c r="AC188" s="192"/>
      <c r="AD188" s="438"/>
      <c r="AE188" s="766"/>
      <c r="AF188" s="766"/>
      <c r="AG188" s="766"/>
      <c r="AH188" s="766"/>
      <c r="AI188" s="766"/>
      <c r="AJ188" s="766"/>
      <c r="AK188" s="766"/>
      <c r="AL188" s="766"/>
      <c r="AM188" s="429"/>
      <c r="AN188" s="429"/>
      <c r="AO188" s="429"/>
      <c r="AP188" s="429"/>
      <c r="AQ188" s="429"/>
      <c r="AR188" s="429"/>
      <c r="AS188" s="429"/>
      <c r="AT188" s="429"/>
      <c r="AU188" s="429"/>
      <c r="AV188" s="429"/>
      <c r="AW188" s="258"/>
      <c r="AX188" s="429"/>
      <c r="AY188" s="429"/>
      <c r="AZ188" s="430"/>
    </row>
    <row r="189" spans="1:104" ht="19.5" hidden="1" customHeight="1" x14ac:dyDescent="0.35">
      <c r="A189" s="439">
        <v>20000</v>
      </c>
      <c r="B189" s="903">
        <v>0.91</v>
      </c>
      <c r="C189" s="440">
        <v>0.95</v>
      </c>
      <c r="D189" s="569"/>
      <c r="Y189" s="530"/>
      <c r="Z189" s="530"/>
      <c r="AA189" s="530"/>
      <c r="AB189" s="441">
        <f>SUM(AB186:AB188)</f>
        <v>0</v>
      </c>
      <c r="AC189" s="258"/>
      <c r="AD189" s="364"/>
      <c r="AE189" s="759"/>
      <c r="AF189" s="759"/>
      <c r="AG189" s="759"/>
      <c r="AH189" s="759"/>
      <c r="AI189" s="759"/>
      <c r="AJ189" s="759"/>
      <c r="AK189" s="759"/>
      <c r="AL189" s="759"/>
      <c r="AM189" s="256"/>
      <c r="AN189" s="256"/>
      <c r="AO189" s="256"/>
      <c r="AP189" s="256"/>
      <c r="AQ189" s="256"/>
      <c r="AR189" s="256"/>
      <c r="AS189" s="256"/>
      <c r="AT189" s="256"/>
      <c r="AU189" s="256"/>
      <c r="AV189" s="442"/>
      <c r="AW189" s="429"/>
      <c r="AX189" s="443"/>
      <c r="AY189" s="256"/>
      <c r="AZ189" s="444"/>
    </row>
    <row r="190" spans="1:104" ht="12.75" hidden="1" customHeight="1" x14ac:dyDescent="0.35">
      <c r="A190" s="439">
        <v>25000</v>
      </c>
      <c r="B190" s="903">
        <v>0.87</v>
      </c>
      <c r="C190" s="440">
        <v>0.94</v>
      </c>
      <c r="D190" s="569"/>
      <c r="Y190" s="519" t="s">
        <v>72</v>
      </c>
      <c r="Z190" s="519"/>
      <c r="AA190" s="519"/>
      <c r="AB190" s="368"/>
      <c r="AC190" s="258"/>
      <c r="AD190" s="364"/>
      <c r="AE190" s="766"/>
      <c r="AF190" s="766"/>
      <c r="AG190" s="766"/>
      <c r="AH190" s="766"/>
      <c r="AI190" s="766"/>
      <c r="AJ190" s="766"/>
      <c r="AK190" s="766"/>
      <c r="AL190" s="766"/>
      <c r="AM190" s="429"/>
      <c r="AN190" s="429"/>
      <c r="AO190" s="429"/>
      <c r="AP190" s="429"/>
      <c r="AQ190" s="429"/>
      <c r="AR190" s="429"/>
      <c r="AS190" s="429"/>
      <c r="AT190" s="429"/>
      <c r="AU190" s="429"/>
      <c r="AV190" s="429"/>
      <c r="AW190" s="256"/>
      <c r="AX190" s="429"/>
      <c r="AY190" s="429"/>
      <c r="AZ190" s="437">
        <v>0</v>
      </c>
    </row>
    <row r="191" spans="1:104" ht="18.75" hidden="1" customHeight="1" x14ac:dyDescent="0.35">
      <c r="A191" s="439">
        <v>30000</v>
      </c>
      <c r="B191" s="903">
        <v>0.85</v>
      </c>
      <c r="C191" s="440">
        <v>0.9</v>
      </c>
      <c r="D191" s="569"/>
      <c r="Y191" s="519" t="s">
        <v>63</v>
      </c>
      <c r="Z191" s="519"/>
      <c r="AA191" s="519"/>
      <c r="AB191" s="258"/>
      <c r="AC191" s="258"/>
      <c r="AD191" s="258"/>
      <c r="AE191" s="766"/>
      <c r="AF191" s="766"/>
      <c r="AG191" s="766"/>
      <c r="AH191" s="766"/>
      <c r="AI191" s="766"/>
      <c r="AJ191" s="766"/>
      <c r="AK191" s="766"/>
      <c r="AL191" s="766"/>
      <c r="AM191" s="429"/>
      <c r="AN191" s="429"/>
      <c r="AO191" s="429"/>
      <c r="AP191" s="429"/>
      <c r="AQ191" s="429"/>
      <c r="AR191" s="429"/>
      <c r="AS191" s="429"/>
      <c r="AT191" s="429"/>
      <c r="AU191" s="429"/>
      <c r="AV191" s="429"/>
      <c r="AW191" s="429"/>
      <c r="AX191" s="429"/>
      <c r="AY191" s="429"/>
      <c r="AZ191" s="437">
        <v>0</v>
      </c>
    </row>
    <row r="192" spans="1:104" ht="13.5" hidden="1" customHeight="1" x14ac:dyDescent="0.35">
      <c r="A192" s="439">
        <v>35000</v>
      </c>
      <c r="B192" s="903">
        <v>0.83</v>
      </c>
      <c r="C192" s="440">
        <v>0.88</v>
      </c>
      <c r="D192" s="569"/>
      <c r="Y192" s="519" t="s">
        <v>62</v>
      </c>
      <c r="Z192" s="519"/>
      <c r="AA192" s="519"/>
      <c r="AB192" s="258"/>
      <c r="AC192" s="258"/>
      <c r="AD192" s="258"/>
      <c r="AE192" s="766"/>
      <c r="AF192" s="766"/>
      <c r="AG192" s="766"/>
      <c r="AH192" s="766"/>
      <c r="AI192" s="766"/>
      <c r="AJ192" s="766"/>
      <c r="AK192" s="766"/>
      <c r="AL192" s="766"/>
      <c r="AM192" s="429"/>
      <c r="AN192" s="429"/>
      <c r="AO192" s="429"/>
      <c r="AP192" s="429"/>
      <c r="AQ192" s="429"/>
      <c r="AR192" s="429"/>
      <c r="AS192" s="429"/>
      <c r="AT192" s="429"/>
      <c r="AU192" s="429"/>
      <c r="AV192" s="429"/>
      <c r="AW192" s="429"/>
      <c r="AX192" s="429"/>
      <c r="AY192" s="429"/>
      <c r="AZ192" s="437">
        <v>0</v>
      </c>
    </row>
    <row r="193" spans="1:105" ht="12.75" hidden="1" customHeight="1" x14ac:dyDescent="0.35">
      <c r="A193" s="439">
        <v>40000</v>
      </c>
      <c r="B193" s="903">
        <v>0.79</v>
      </c>
      <c r="C193" s="440">
        <v>0.86</v>
      </c>
      <c r="D193" s="569"/>
      <c r="Y193" s="522" t="s">
        <v>26</v>
      </c>
      <c r="Z193" s="522"/>
      <c r="AA193" s="522"/>
      <c r="AB193" s="443"/>
      <c r="AC193" s="443"/>
      <c r="AD193" s="443"/>
      <c r="AE193" s="759"/>
      <c r="AF193" s="759"/>
      <c r="AG193" s="759"/>
      <c r="AH193" s="759"/>
      <c r="AI193" s="759"/>
      <c r="AJ193" s="759"/>
      <c r="AK193" s="759"/>
      <c r="AL193" s="759"/>
      <c r="AM193" s="258"/>
      <c r="AN193" s="258"/>
      <c r="AO193" s="258"/>
      <c r="AP193" s="258"/>
      <c r="AQ193" s="258"/>
      <c r="AR193" s="258"/>
      <c r="AS193" s="258"/>
      <c r="AT193" s="258"/>
      <c r="AU193" s="258"/>
      <c r="AV193" s="192"/>
      <c r="AW193" s="429"/>
      <c r="AX193" s="258"/>
      <c r="AY193" s="376" t="s">
        <v>26</v>
      </c>
      <c r="AZ193" s="441">
        <f>SUM(AZ190:AZ192)</f>
        <v>0</v>
      </c>
    </row>
    <row r="194" spans="1:105" ht="15.5" hidden="1" x14ac:dyDescent="0.35">
      <c r="A194" s="439">
        <v>45000</v>
      </c>
      <c r="B194" s="903">
        <v>0.76</v>
      </c>
      <c r="C194" s="440">
        <v>0.84</v>
      </c>
      <c r="D194" s="569"/>
      <c r="Y194" s="530"/>
      <c r="Z194" s="530"/>
      <c r="AA194" s="530"/>
      <c r="AB194" s="258"/>
      <c r="AC194" s="258"/>
      <c r="AD194" s="258"/>
      <c r="AE194" s="759"/>
      <c r="AF194" s="759"/>
      <c r="AG194" s="759"/>
      <c r="AH194" s="759"/>
      <c r="AI194" s="759"/>
      <c r="AJ194" s="759"/>
      <c r="AK194" s="759"/>
      <c r="AL194" s="759"/>
      <c r="AM194" s="258"/>
      <c r="AN194" s="258"/>
      <c r="AO194" s="258"/>
      <c r="AP194" s="258"/>
      <c r="AQ194" s="258"/>
      <c r="AR194" s="258"/>
      <c r="AS194" s="258"/>
      <c r="AT194" s="258"/>
      <c r="AU194" s="258"/>
      <c r="AV194" s="192"/>
      <c r="AW194" s="258"/>
      <c r="AX194" s="258"/>
      <c r="AY194" s="258"/>
      <c r="AZ194" s="258"/>
    </row>
    <row r="195" spans="1:105" ht="12.75" hidden="1" customHeight="1" x14ac:dyDescent="0.35">
      <c r="A195" s="439">
        <v>50000</v>
      </c>
      <c r="B195" s="903">
        <v>0.74</v>
      </c>
      <c r="C195" s="440">
        <v>0.8</v>
      </c>
      <c r="D195" s="569"/>
      <c r="Y195" s="523"/>
      <c r="Z195" s="523"/>
      <c r="AA195" s="523"/>
      <c r="AB195" s="258"/>
      <c r="AC195" s="258"/>
      <c r="AD195" s="258"/>
      <c r="AE195" s="759"/>
      <c r="AF195" s="759"/>
      <c r="AG195" s="759"/>
      <c r="AH195" s="759"/>
      <c r="AI195" s="759"/>
      <c r="AJ195" s="759"/>
      <c r="AK195" s="759"/>
      <c r="AL195" s="759"/>
      <c r="AM195" s="258"/>
      <c r="AN195" s="258"/>
      <c r="AO195" s="258"/>
      <c r="AP195" s="258"/>
      <c r="AQ195" s="258"/>
      <c r="AR195" s="258"/>
      <c r="AS195" s="258"/>
      <c r="AT195" s="258"/>
      <c r="AU195" s="258"/>
      <c r="AV195" s="258"/>
      <c r="AW195" s="258"/>
      <c r="AX195" s="258"/>
      <c r="AY195" s="258"/>
      <c r="AZ195" s="258"/>
    </row>
    <row r="196" spans="1:105" s="358" customFormat="1" ht="20.25" hidden="1" customHeight="1" x14ac:dyDescent="0.35">
      <c r="A196" s="439">
        <v>55000</v>
      </c>
      <c r="B196" s="903">
        <v>0.72</v>
      </c>
      <c r="C196" s="440">
        <v>0.78</v>
      </c>
      <c r="D196" s="569"/>
      <c r="E196" s="281"/>
      <c r="F196" s="281"/>
      <c r="G196" s="281"/>
      <c r="H196" s="281"/>
      <c r="I196" s="281"/>
      <c r="J196" s="281"/>
      <c r="K196" s="281"/>
      <c r="L196" s="281"/>
      <c r="M196" s="357"/>
      <c r="N196" s="514"/>
      <c r="O196" s="514"/>
      <c r="P196" s="514"/>
      <c r="Q196" s="514"/>
      <c r="R196" s="514"/>
      <c r="S196" s="514"/>
      <c r="T196" s="514"/>
      <c r="U196" s="514"/>
      <c r="V196" s="514"/>
      <c r="W196" s="514"/>
      <c r="X196" s="514"/>
      <c r="Y196" s="523"/>
      <c r="Z196" s="523"/>
      <c r="AA196" s="523"/>
      <c r="AB196" s="258"/>
      <c r="AC196" s="258"/>
      <c r="AD196" s="258"/>
      <c r="AE196" s="759"/>
      <c r="AF196" s="759"/>
      <c r="AG196" s="759"/>
      <c r="AH196" s="759"/>
      <c r="AI196" s="759"/>
      <c r="AJ196" s="759"/>
      <c r="AK196" s="759"/>
      <c r="AL196" s="759"/>
      <c r="AM196" s="258"/>
      <c r="AN196" s="258"/>
      <c r="AO196" s="258"/>
      <c r="AP196" s="258"/>
      <c r="AQ196" s="258"/>
      <c r="AR196" s="258"/>
      <c r="AS196" s="258"/>
      <c r="AT196" s="258"/>
      <c r="AU196" s="258"/>
      <c r="AV196" s="258"/>
      <c r="AW196" s="258"/>
      <c r="AX196" s="258"/>
      <c r="AY196" s="258"/>
      <c r="AZ196" s="258"/>
      <c r="BA196" s="354"/>
      <c r="BN196" s="341"/>
      <c r="BO196" s="341"/>
      <c r="BP196" s="341"/>
      <c r="BQ196" s="341"/>
      <c r="BR196" s="341"/>
      <c r="BS196" s="341"/>
      <c r="BT196" s="341"/>
      <c r="BU196" s="341"/>
      <c r="BV196" s="341"/>
      <c r="BW196" s="341"/>
      <c r="BX196" s="341"/>
      <c r="BY196" s="341"/>
      <c r="BZ196" s="341"/>
      <c r="CA196" s="341"/>
      <c r="CB196" s="341"/>
      <c r="CC196" s="341"/>
      <c r="CD196" s="341"/>
      <c r="CE196" s="341"/>
      <c r="CF196" s="341"/>
      <c r="CG196" s="341"/>
      <c r="CM196" s="341"/>
      <c r="CN196" s="341"/>
      <c r="CO196" s="341"/>
      <c r="CP196" s="341"/>
      <c r="CQ196" s="341"/>
      <c r="CR196" s="341"/>
      <c r="CS196" s="341"/>
      <c r="CT196" s="341"/>
      <c r="CU196" s="341"/>
      <c r="CV196" s="341"/>
      <c r="CW196" s="341"/>
      <c r="CX196" s="341"/>
      <c r="CY196" s="341"/>
      <c r="CZ196" s="341"/>
    </row>
    <row r="197" spans="1:105" s="250" customFormat="1" ht="15.5" hidden="1" x14ac:dyDescent="0.35">
      <c r="A197" s="439">
        <v>60000</v>
      </c>
      <c r="B197" s="903">
        <v>0.7</v>
      </c>
      <c r="C197" s="440">
        <v>0.76</v>
      </c>
      <c r="D197" s="569"/>
      <c r="E197" s="281"/>
      <c r="F197" s="281"/>
      <c r="G197" s="281"/>
      <c r="H197" s="281"/>
      <c r="I197" s="281"/>
      <c r="J197" s="281"/>
      <c r="K197" s="281"/>
      <c r="L197" s="281"/>
      <c r="M197" s="276"/>
      <c r="N197" s="523"/>
      <c r="O197" s="523"/>
      <c r="P197" s="523"/>
      <c r="Q197" s="523"/>
      <c r="R197" s="523"/>
      <c r="S197" s="523"/>
      <c r="T197" s="523"/>
      <c r="U197" s="523"/>
      <c r="V197" s="523"/>
      <c r="W197" s="523"/>
      <c r="X197" s="523"/>
      <c r="Y197" s="531"/>
      <c r="Z197" s="531"/>
      <c r="AA197" s="531"/>
      <c r="AB197" s="256"/>
      <c r="AC197" s="256"/>
      <c r="AD197" s="256"/>
      <c r="AE197" s="767"/>
      <c r="AF197" s="767"/>
      <c r="AG197" s="767"/>
      <c r="AH197" s="767"/>
      <c r="AI197" s="767"/>
      <c r="AJ197" s="767"/>
      <c r="AK197" s="767"/>
      <c r="AL197" s="767"/>
      <c r="AM197" s="443"/>
      <c r="AN197" s="443"/>
      <c r="AO197" s="443"/>
      <c r="AP197" s="443"/>
      <c r="AQ197" s="443"/>
      <c r="AR197" s="443"/>
      <c r="AS197" s="443"/>
      <c r="AT197" s="443"/>
      <c r="AU197" s="443"/>
      <c r="AV197" s="443"/>
      <c r="AW197" s="258"/>
      <c r="AX197" s="443"/>
      <c r="AY197" s="443"/>
      <c r="AZ197" s="443"/>
      <c r="BA197" s="258"/>
    </row>
    <row r="198" spans="1:105" s="315" customFormat="1" ht="15.5" hidden="1" x14ac:dyDescent="0.35">
      <c r="A198" s="439">
        <v>65000</v>
      </c>
      <c r="B198" s="903">
        <v>0.68</v>
      </c>
      <c r="C198" s="440">
        <v>0.74</v>
      </c>
      <c r="D198" s="569"/>
      <c r="E198" s="281"/>
      <c r="F198" s="281"/>
      <c r="G198" s="281"/>
      <c r="H198" s="281"/>
      <c r="I198" s="281"/>
      <c r="J198" s="281"/>
      <c r="K198" s="281"/>
      <c r="L198" s="281"/>
      <c r="M198" s="276"/>
      <c r="N198" s="532"/>
      <c r="O198" s="533"/>
      <c r="P198" s="533"/>
      <c r="Q198" s="533"/>
      <c r="R198" s="533"/>
      <c r="S198" s="533"/>
      <c r="T198" s="533"/>
      <c r="U198" s="533"/>
      <c r="V198" s="533"/>
      <c r="W198" s="533"/>
      <c r="X198" s="534"/>
      <c r="Y198" s="523"/>
      <c r="Z198" s="523"/>
      <c r="AA198" s="523"/>
      <c r="AB198" s="258"/>
      <c r="AC198" s="258"/>
      <c r="AD198" s="258"/>
      <c r="AE198" s="759"/>
      <c r="AF198" s="759"/>
      <c r="AG198" s="759"/>
      <c r="AH198" s="759"/>
      <c r="AI198" s="759"/>
      <c r="AJ198" s="759"/>
      <c r="AK198" s="759"/>
      <c r="AL198" s="759"/>
      <c r="AM198" s="258"/>
      <c r="AN198" s="258"/>
      <c r="AO198" s="258"/>
      <c r="AP198" s="258"/>
      <c r="AQ198" s="258"/>
      <c r="AR198" s="258"/>
      <c r="AS198" s="258"/>
      <c r="AT198" s="258"/>
      <c r="AU198" s="258"/>
      <c r="AV198" s="258"/>
      <c r="AW198" s="443"/>
      <c r="AX198" s="258"/>
      <c r="AY198" s="258"/>
      <c r="AZ198" s="258"/>
      <c r="BA198" s="445"/>
      <c r="BN198" s="420"/>
      <c r="BO198" s="250"/>
      <c r="BP198" s="250"/>
      <c r="BQ198" s="250"/>
      <c r="BR198" s="250"/>
      <c r="BS198" s="250"/>
      <c r="BT198" s="250"/>
      <c r="BU198" s="250"/>
      <c r="BV198" s="250"/>
      <c r="BW198" s="250"/>
      <c r="BX198" s="250"/>
      <c r="BY198" s="250"/>
      <c r="BZ198" s="250"/>
      <c r="CA198" s="250"/>
      <c r="CB198" s="250"/>
      <c r="CC198" s="250"/>
      <c r="CD198" s="250"/>
      <c r="CE198" s="250"/>
      <c r="CF198" s="250"/>
      <c r="CG198" s="250"/>
      <c r="CH198" s="419"/>
      <c r="CL198" s="447"/>
      <c r="CM198" s="250"/>
      <c r="CN198" s="250"/>
      <c r="CO198" s="250"/>
      <c r="CP198" s="250"/>
      <c r="CQ198" s="250"/>
      <c r="CR198" s="250"/>
      <c r="CS198" s="250"/>
      <c r="CT198" s="250"/>
      <c r="CU198" s="250"/>
      <c r="CV198" s="250"/>
      <c r="CW198" s="250"/>
      <c r="CX198" s="250"/>
      <c r="CY198" s="250"/>
      <c r="CZ198" s="250"/>
      <c r="DA198" s="419"/>
    </row>
    <row r="199" spans="1:105" ht="21" hidden="1" customHeight="1" x14ac:dyDescent="0.35">
      <c r="A199" s="439">
        <v>70000</v>
      </c>
      <c r="B199" s="903">
        <v>0.67</v>
      </c>
      <c r="C199" s="440">
        <v>0.72</v>
      </c>
      <c r="D199" s="569"/>
      <c r="Y199" s="523"/>
      <c r="Z199" s="523"/>
      <c r="AA199" s="523"/>
      <c r="AB199" s="256"/>
      <c r="AC199" s="256"/>
      <c r="AD199" s="256"/>
      <c r="AE199" s="759"/>
      <c r="AF199" s="759"/>
      <c r="AG199" s="759"/>
      <c r="AH199" s="759"/>
      <c r="AI199" s="759"/>
      <c r="AJ199" s="759"/>
      <c r="AK199" s="759"/>
      <c r="AL199" s="759"/>
      <c r="AM199" s="258"/>
      <c r="AN199" s="258"/>
      <c r="AO199" s="258"/>
      <c r="AP199" s="258"/>
      <c r="AQ199" s="258"/>
      <c r="AR199" s="258"/>
      <c r="AS199" s="258"/>
      <c r="AT199" s="258"/>
      <c r="AU199" s="258"/>
      <c r="AV199" s="258"/>
      <c r="AW199" s="258"/>
      <c r="AX199" s="258"/>
      <c r="AY199" s="258"/>
      <c r="AZ199" s="258"/>
    </row>
    <row r="200" spans="1:105" s="246" customFormat="1" ht="15.5" hidden="1" x14ac:dyDescent="0.35">
      <c r="A200" s="439">
        <v>75000</v>
      </c>
      <c r="B200" s="903">
        <v>0.66</v>
      </c>
      <c r="C200" s="440">
        <v>0.71</v>
      </c>
      <c r="D200" s="569"/>
      <c r="E200" s="281"/>
      <c r="F200" s="281"/>
      <c r="G200" s="281"/>
      <c r="H200" s="281"/>
      <c r="I200" s="281"/>
      <c r="J200" s="281"/>
      <c r="K200" s="281"/>
      <c r="L200" s="281"/>
      <c r="M200" s="287"/>
      <c r="N200" s="474"/>
      <c r="O200" s="474"/>
      <c r="P200" s="474"/>
      <c r="Q200" s="474"/>
      <c r="R200" s="474"/>
      <c r="S200" s="474"/>
      <c r="T200" s="474"/>
      <c r="U200" s="474"/>
      <c r="V200" s="474"/>
      <c r="W200" s="474"/>
      <c r="X200" s="474"/>
      <c r="Y200" s="523"/>
      <c r="Z200" s="523"/>
      <c r="AA200" s="523"/>
      <c r="AB200" s="256"/>
      <c r="AC200" s="256"/>
      <c r="AD200" s="256"/>
      <c r="AE200" s="759"/>
      <c r="AF200" s="759"/>
      <c r="AG200" s="759"/>
      <c r="AH200" s="759"/>
      <c r="AI200" s="759"/>
      <c r="AJ200" s="759"/>
      <c r="AK200" s="759"/>
      <c r="AL200" s="759"/>
      <c r="AM200" s="258"/>
      <c r="AN200" s="258"/>
      <c r="AO200" s="258"/>
      <c r="AP200" s="258"/>
      <c r="AQ200" s="258"/>
      <c r="AR200" s="258"/>
      <c r="AS200" s="258"/>
      <c r="AT200" s="258"/>
      <c r="AU200" s="258"/>
      <c r="AV200" s="258"/>
      <c r="AW200" s="258"/>
      <c r="AX200" s="258"/>
      <c r="AY200" s="258"/>
      <c r="AZ200" s="258"/>
      <c r="BA200" s="256"/>
    </row>
    <row r="201" spans="1:105" s="246" customFormat="1" ht="15.5" hidden="1" x14ac:dyDescent="0.35">
      <c r="A201" s="439">
        <v>80000</v>
      </c>
      <c r="B201" s="903">
        <v>0.65</v>
      </c>
      <c r="C201" s="440">
        <v>0.69</v>
      </c>
      <c r="D201" s="569"/>
      <c r="E201" s="281"/>
      <c r="F201" s="281"/>
      <c r="G201" s="281"/>
      <c r="H201" s="281"/>
      <c r="I201" s="281"/>
      <c r="J201" s="281"/>
      <c r="K201" s="281"/>
      <c r="L201" s="281"/>
      <c r="M201" s="287"/>
      <c r="N201" s="474"/>
      <c r="O201" s="474"/>
      <c r="P201" s="474"/>
      <c r="Q201" s="474"/>
      <c r="R201" s="474"/>
      <c r="S201" s="474"/>
      <c r="T201" s="474"/>
      <c r="U201" s="474"/>
      <c r="V201" s="474"/>
      <c r="W201" s="474"/>
      <c r="X201" s="474"/>
      <c r="Y201" s="474"/>
      <c r="Z201" s="474"/>
      <c r="AA201" s="474"/>
      <c r="AB201" s="256"/>
      <c r="AC201" s="256"/>
      <c r="AD201" s="256"/>
      <c r="AE201" s="759"/>
      <c r="AF201" s="759"/>
      <c r="AG201" s="759"/>
      <c r="AH201" s="759"/>
      <c r="AI201" s="759"/>
      <c r="AJ201" s="759"/>
      <c r="AK201" s="759"/>
      <c r="AL201" s="759"/>
      <c r="AM201" s="256"/>
      <c r="AN201" s="256"/>
      <c r="AO201" s="256"/>
      <c r="AP201" s="256"/>
      <c r="AQ201" s="256"/>
      <c r="AR201" s="256"/>
      <c r="AS201" s="256"/>
      <c r="AT201" s="256"/>
      <c r="AU201" s="256"/>
      <c r="AV201" s="256"/>
      <c r="AW201" s="258"/>
      <c r="AX201" s="256"/>
      <c r="AY201" s="256"/>
      <c r="AZ201" s="256"/>
      <c r="BA201" s="256"/>
    </row>
    <row r="202" spans="1:105" s="246" customFormat="1" ht="18.75" hidden="1" customHeight="1" x14ac:dyDescent="0.35">
      <c r="A202" s="439">
        <v>85000</v>
      </c>
      <c r="B202" s="903">
        <v>0.64</v>
      </c>
      <c r="C202" s="440">
        <v>0.68</v>
      </c>
      <c r="D202" s="569"/>
      <c r="E202" s="281"/>
      <c r="F202" s="281"/>
      <c r="G202" s="281"/>
      <c r="H202" s="281"/>
      <c r="I202" s="281"/>
      <c r="J202" s="281"/>
      <c r="K202" s="281"/>
      <c r="L202" s="281"/>
      <c r="M202" s="287"/>
      <c r="N202" s="474"/>
      <c r="O202" s="474"/>
      <c r="P202" s="474"/>
      <c r="Q202" s="474"/>
      <c r="R202" s="474"/>
      <c r="S202" s="474"/>
      <c r="T202" s="474"/>
      <c r="U202" s="474"/>
      <c r="V202" s="474"/>
      <c r="W202" s="474"/>
      <c r="X202" s="474"/>
      <c r="Y202" s="523"/>
      <c r="Z202" s="523"/>
      <c r="AA202" s="523"/>
      <c r="AB202" s="256"/>
      <c r="AC202" s="256"/>
      <c r="AD202" s="256"/>
      <c r="AE202" s="759"/>
      <c r="AF202" s="759"/>
      <c r="AG202" s="759"/>
      <c r="AH202" s="759"/>
      <c r="AI202" s="759"/>
      <c r="AJ202" s="759"/>
      <c r="AK202" s="759"/>
      <c r="AL202" s="759"/>
      <c r="AM202" s="258"/>
      <c r="AN202" s="258"/>
      <c r="AO202" s="258"/>
      <c r="AP202" s="258"/>
      <c r="AQ202" s="258"/>
      <c r="AR202" s="258"/>
      <c r="AS202" s="258"/>
      <c r="AT202" s="258"/>
      <c r="AU202" s="258"/>
      <c r="AV202" s="258"/>
      <c r="AW202" s="256"/>
      <c r="AX202" s="258"/>
      <c r="AY202" s="258"/>
      <c r="AZ202" s="258"/>
      <c r="BA202" s="256"/>
    </row>
    <row r="203" spans="1:105" s="246" customFormat="1" ht="15.5" hidden="1" x14ac:dyDescent="0.35">
      <c r="A203" s="439">
        <v>90000</v>
      </c>
      <c r="B203" s="903">
        <v>0.63</v>
      </c>
      <c r="C203" s="440">
        <v>0.67</v>
      </c>
      <c r="D203" s="569"/>
      <c r="E203" s="281"/>
      <c r="F203" s="281"/>
      <c r="G203" s="281"/>
      <c r="H203" s="281"/>
      <c r="I203" s="281"/>
      <c r="J203" s="281"/>
      <c r="K203" s="281"/>
      <c r="L203" s="281"/>
      <c r="M203" s="287"/>
      <c r="N203" s="474"/>
      <c r="O203" s="474"/>
      <c r="P203" s="474"/>
      <c r="Q203" s="474"/>
      <c r="R203" s="474"/>
      <c r="S203" s="474"/>
      <c r="T203" s="474"/>
      <c r="U203" s="474"/>
      <c r="V203" s="474"/>
      <c r="W203" s="474"/>
      <c r="X203" s="474"/>
      <c r="Y203" s="474"/>
      <c r="Z203" s="474"/>
      <c r="AA203" s="474"/>
      <c r="AB203" s="256"/>
      <c r="AC203" s="256"/>
      <c r="AD203" s="256"/>
      <c r="AE203" s="759"/>
      <c r="AF203" s="759"/>
      <c r="AG203" s="759"/>
      <c r="AH203" s="759"/>
      <c r="AI203" s="759"/>
      <c r="AJ203" s="759"/>
      <c r="AK203" s="759"/>
      <c r="AL203" s="759"/>
      <c r="AM203" s="256"/>
      <c r="AN203" s="256"/>
      <c r="AO203" s="256"/>
      <c r="AP203" s="256"/>
      <c r="AQ203" s="256"/>
      <c r="AR203" s="256"/>
      <c r="AS203" s="256"/>
      <c r="AT203" s="256"/>
      <c r="AU203" s="256"/>
      <c r="AV203" s="256"/>
      <c r="AW203" s="258"/>
      <c r="AX203" s="256"/>
      <c r="AY203" s="256"/>
      <c r="AZ203" s="256"/>
      <c r="BA203" s="256"/>
    </row>
    <row r="204" spans="1:105" s="246" customFormat="1" ht="12.75" hidden="1" customHeight="1" x14ac:dyDescent="0.35">
      <c r="A204" s="439">
        <v>95000</v>
      </c>
      <c r="B204" s="903">
        <v>0.62</v>
      </c>
      <c r="C204" s="440">
        <v>0.66</v>
      </c>
      <c r="D204" s="569"/>
      <c r="E204" s="281"/>
      <c r="F204" s="281"/>
      <c r="G204" s="281"/>
      <c r="H204" s="281"/>
      <c r="I204" s="281"/>
      <c r="J204" s="281"/>
      <c r="K204" s="281"/>
      <c r="L204" s="281"/>
      <c r="M204" s="287"/>
      <c r="N204" s="529" t="e">
        <f>(K76-K111-200)*1000/-PMT(AE1/12,E30*12,1000,0,0)</f>
        <v>#DIV/0!</v>
      </c>
      <c r="O204" s="474"/>
      <c r="P204" s="474"/>
      <c r="Q204" s="474"/>
      <c r="R204" s="474"/>
      <c r="S204" s="474"/>
      <c r="T204" s="474"/>
      <c r="U204" s="474"/>
      <c r="V204" s="474"/>
      <c r="W204" s="474"/>
      <c r="X204" s="474"/>
      <c r="Y204" s="474"/>
      <c r="Z204" s="474"/>
      <c r="AA204" s="474"/>
      <c r="AB204" s="256"/>
      <c r="AC204" s="256"/>
      <c r="AD204" s="256"/>
      <c r="AE204" s="759"/>
      <c r="AF204" s="759"/>
      <c r="AG204" s="759"/>
      <c r="AH204" s="759"/>
      <c r="AI204" s="759"/>
      <c r="AJ204" s="759"/>
      <c r="AK204" s="759"/>
      <c r="AL204" s="759"/>
      <c r="AM204" s="256"/>
      <c r="AN204" s="256"/>
      <c r="AO204" s="256"/>
      <c r="AP204" s="256"/>
      <c r="AQ204" s="256"/>
      <c r="AR204" s="256"/>
      <c r="AS204" s="256"/>
      <c r="AT204" s="256"/>
      <c r="AU204" s="256"/>
      <c r="AV204" s="256"/>
      <c r="AW204" s="256"/>
      <c r="AX204" s="256"/>
      <c r="AY204" s="256"/>
      <c r="AZ204" s="256"/>
      <c r="BA204" s="256"/>
    </row>
    <row r="205" spans="1:105" s="246" customFormat="1" ht="15.5" hidden="1" x14ac:dyDescent="0.35">
      <c r="A205" s="439">
        <v>100000</v>
      </c>
      <c r="B205" s="903">
        <v>0.61</v>
      </c>
      <c r="C205" s="440">
        <v>0.65</v>
      </c>
      <c r="D205" s="569"/>
      <c r="E205" s="281"/>
      <c r="F205" s="281"/>
      <c r="G205" s="281"/>
      <c r="H205" s="281"/>
      <c r="I205" s="281"/>
      <c r="J205" s="281"/>
      <c r="K205" s="281"/>
      <c r="L205" s="281"/>
      <c r="M205" s="287"/>
      <c r="N205" s="474"/>
      <c r="O205" s="474"/>
      <c r="P205" s="474"/>
      <c r="Q205" s="474"/>
      <c r="R205" s="474"/>
      <c r="S205" s="474"/>
      <c r="T205" s="474"/>
      <c r="U205" s="474"/>
      <c r="V205" s="474"/>
      <c r="W205" s="474"/>
      <c r="X205" s="474"/>
      <c r="Y205" s="474"/>
      <c r="Z205" s="474"/>
      <c r="AA205" s="474"/>
      <c r="AB205" s="422"/>
      <c r="AC205" s="258"/>
      <c r="AD205" s="423"/>
      <c r="AE205" s="759"/>
      <c r="AF205" s="759"/>
      <c r="AG205" s="759"/>
      <c r="AH205" s="759"/>
      <c r="AI205" s="759"/>
      <c r="AJ205" s="759"/>
      <c r="AK205" s="759"/>
      <c r="AL205" s="759"/>
      <c r="AM205" s="256"/>
      <c r="AN205" s="256"/>
      <c r="AO205" s="256"/>
      <c r="AP205" s="256"/>
      <c r="AQ205" s="256"/>
      <c r="AR205" s="256"/>
      <c r="AS205" s="256"/>
      <c r="AT205" s="256"/>
      <c r="AU205" s="256"/>
      <c r="AV205" s="256"/>
      <c r="AW205" s="256"/>
      <c r="AX205" s="256"/>
      <c r="AY205" s="256"/>
      <c r="AZ205" s="256"/>
      <c r="BA205" s="256"/>
    </row>
    <row r="206" spans="1:105" s="246" customFormat="1" ht="12.75" hidden="1" customHeight="1" x14ac:dyDescent="0.35">
      <c r="A206" s="439">
        <v>105000</v>
      </c>
      <c r="B206" s="903">
        <v>0.61</v>
      </c>
      <c r="C206" s="440">
        <v>0.64</v>
      </c>
      <c r="D206" s="569"/>
      <c r="E206" s="281"/>
      <c r="F206" s="281"/>
      <c r="G206" s="281"/>
      <c r="H206" s="281"/>
      <c r="I206" s="281"/>
      <c r="J206" s="281"/>
      <c r="K206" s="281"/>
      <c r="L206" s="281"/>
      <c r="M206" s="287"/>
      <c r="N206" s="529" t="e">
        <f>(K78-#REF!-200)*1000/-PMT(AE3/12,#REF!*12,1000,0,0)</f>
        <v>#REF!</v>
      </c>
      <c r="O206" s="474"/>
      <c r="P206" s="474"/>
      <c r="Q206" s="474"/>
      <c r="R206" s="474"/>
      <c r="S206" s="474"/>
      <c r="T206" s="474"/>
      <c r="U206" s="474"/>
      <c r="V206" s="474"/>
      <c r="W206" s="474"/>
      <c r="X206" s="474"/>
      <c r="Y206" s="474"/>
      <c r="Z206" s="474"/>
      <c r="AA206" s="474"/>
      <c r="AB206" s="176"/>
      <c r="AC206" s="176"/>
      <c r="AD206" s="176"/>
      <c r="AE206" s="759"/>
      <c r="AF206" s="759"/>
      <c r="AG206" s="759"/>
      <c r="AH206" s="759"/>
      <c r="AI206" s="759"/>
      <c r="AJ206" s="759"/>
      <c r="AK206" s="759"/>
      <c r="AL206" s="759"/>
      <c r="AM206" s="256"/>
      <c r="AN206" s="256"/>
      <c r="AO206" s="256"/>
      <c r="AP206" s="256"/>
      <c r="AQ206" s="256"/>
      <c r="AR206" s="256"/>
      <c r="AS206" s="256"/>
      <c r="AT206" s="256"/>
      <c r="AU206" s="256"/>
      <c r="AV206" s="256"/>
      <c r="AW206" s="256"/>
      <c r="AX206" s="256"/>
      <c r="AY206" s="256"/>
      <c r="AZ206" s="256"/>
      <c r="BA206" s="256"/>
    </row>
    <row r="207" spans="1:105" s="246" customFormat="1" ht="15.5" hidden="1" x14ac:dyDescent="0.35">
      <c r="A207" s="439">
        <v>110000</v>
      </c>
      <c r="B207" s="903">
        <v>0.6</v>
      </c>
      <c r="C207" s="440">
        <v>0.63</v>
      </c>
      <c r="D207" s="569"/>
      <c r="E207" s="281"/>
      <c r="F207" s="281"/>
      <c r="G207" s="281"/>
      <c r="H207" s="281"/>
      <c r="I207" s="281"/>
      <c r="J207" s="281"/>
      <c r="K207" s="281"/>
      <c r="L207" s="281"/>
      <c r="M207" s="287"/>
      <c r="N207" s="529"/>
      <c r="O207" s="474"/>
      <c r="P207" s="474"/>
      <c r="Q207" s="474"/>
      <c r="R207" s="474"/>
      <c r="S207" s="474"/>
      <c r="T207" s="474"/>
      <c r="U207" s="474"/>
      <c r="V207" s="474"/>
      <c r="W207" s="474"/>
      <c r="X207" s="474"/>
      <c r="Y207" s="474"/>
      <c r="Z207" s="474"/>
      <c r="AA207" s="474"/>
      <c r="AB207" s="256"/>
      <c r="AC207" s="256"/>
      <c r="AD207" s="256"/>
      <c r="AE207" s="759"/>
      <c r="AF207" s="759"/>
      <c r="AG207" s="759"/>
      <c r="AH207" s="759"/>
      <c r="AI207" s="759"/>
      <c r="AJ207" s="759"/>
      <c r="AK207" s="759"/>
      <c r="AL207" s="759"/>
      <c r="AM207" s="256"/>
      <c r="AN207" s="256"/>
      <c r="AO207" s="256"/>
      <c r="AP207" s="256"/>
      <c r="AQ207" s="256"/>
      <c r="AR207" s="256"/>
      <c r="AS207" s="256"/>
      <c r="AT207" s="256"/>
      <c r="AU207" s="256"/>
      <c r="AV207" s="256"/>
      <c r="AW207" s="256"/>
      <c r="AX207" s="256"/>
      <c r="AY207" s="256"/>
      <c r="AZ207" s="256"/>
      <c r="BA207" s="256"/>
    </row>
    <row r="208" spans="1:105" s="246" customFormat="1" ht="22.5" hidden="1" customHeight="1" x14ac:dyDescent="0.35">
      <c r="A208" s="439">
        <v>115000</v>
      </c>
      <c r="B208" s="903">
        <v>0.6</v>
      </c>
      <c r="C208" s="440">
        <v>0.63</v>
      </c>
      <c r="D208" s="569"/>
      <c r="E208" s="281"/>
      <c r="F208" s="281"/>
      <c r="G208" s="281"/>
      <c r="H208" s="281"/>
      <c r="I208" s="281"/>
      <c r="J208" s="281"/>
      <c r="K208" s="281"/>
      <c r="L208" s="281"/>
      <c r="M208" s="287"/>
      <c r="N208" s="529"/>
      <c r="O208" s="474"/>
      <c r="P208" s="474"/>
      <c r="Q208" s="474"/>
      <c r="R208" s="474"/>
      <c r="S208" s="474"/>
      <c r="T208" s="474"/>
      <c r="U208" s="474"/>
      <c r="V208" s="474"/>
      <c r="W208" s="474"/>
      <c r="X208" s="474"/>
      <c r="Y208" s="474"/>
      <c r="Z208" s="474"/>
      <c r="AA208" s="474"/>
      <c r="AB208" s="256"/>
      <c r="AC208" s="256"/>
      <c r="AD208" s="256"/>
      <c r="AE208" s="759"/>
      <c r="AF208" s="759"/>
      <c r="AG208" s="759"/>
      <c r="AH208" s="759"/>
      <c r="AI208" s="759"/>
      <c r="AJ208" s="759"/>
      <c r="AK208" s="759"/>
      <c r="AL208" s="759"/>
      <c r="AM208" s="256"/>
      <c r="AN208" s="256"/>
      <c r="AO208" s="256"/>
      <c r="AP208" s="256"/>
      <c r="AQ208" s="256"/>
      <c r="AR208" s="256"/>
      <c r="AS208" s="256"/>
      <c r="AT208" s="256"/>
      <c r="AU208" s="256"/>
      <c r="AV208" s="256"/>
      <c r="AW208" s="256"/>
      <c r="AX208" s="256"/>
      <c r="AY208" s="256"/>
      <c r="AZ208" s="256"/>
      <c r="BA208" s="256"/>
    </row>
    <row r="209" spans="1:105" ht="18.5" hidden="1" x14ac:dyDescent="0.35">
      <c r="A209" s="439">
        <v>120000</v>
      </c>
      <c r="B209" s="903">
        <v>0.59</v>
      </c>
      <c r="C209" s="440">
        <v>0.62</v>
      </c>
      <c r="D209" s="569"/>
      <c r="Y209" s="524"/>
      <c r="Z209" s="524"/>
      <c r="AA209" s="524"/>
      <c r="AB209" s="256"/>
      <c r="AC209" s="256"/>
      <c r="AD209" s="256"/>
      <c r="AE209" s="766"/>
      <c r="AF209" s="766"/>
      <c r="AG209" s="766"/>
      <c r="AH209" s="766"/>
      <c r="AI209" s="766"/>
      <c r="AJ209" s="766"/>
      <c r="AK209" s="766"/>
      <c r="AL209" s="766"/>
      <c r="AM209" s="429"/>
      <c r="AN209" s="429"/>
      <c r="AO209" s="429"/>
      <c r="AP209" s="429"/>
      <c r="AQ209" s="429"/>
      <c r="AR209" s="429"/>
      <c r="AS209" s="429"/>
      <c r="AT209" s="429"/>
      <c r="AU209" s="429"/>
      <c r="AV209" s="429"/>
      <c r="AW209" s="258"/>
      <c r="AX209" s="429"/>
      <c r="AY209" s="429"/>
      <c r="AZ209" s="430"/>
    </row>
    <row r="210" spans="1:105" s="178" customFormat="1" ht="19.5" hidden="1" customHeight="1" x14ac:dyDescent="0.35">
      <c r="A210" s="439">
        <v>125000</v>
      </c>
      <c r="B210" s="903">
        <v>0.59</v>
      </c>
      <c r="C210" s="440">
        <v>0.62</v>
      </c>
      <c r="D210" s="569"/>
      <c r="E210" s="281"/>
      <c r="F210" s="281"/>
      <c r="G210" s="281"/>
      <c r="H210" s="281"/>
      <c r="I210" s="281"/>
      <c r="J210" s="281"/>
      <c r="K210" s="281"/>
      <c r="L210" s="281"/>
      <c r="M210" s="175"/>
      <c r="N210" s="467"/>
      <c r="O210" s="467"/>
      <c r="P210" s="467"/>
      <c r="Q210" s="467"/>
      <c r="R210" s="467"/>
      <c r="S210" s="467"/>
      <c r="T210" s="467"/>
      <c r="U210" s="467"/>
      <c r="V210" s="467"/>
      <c r="W210" s="467"/>
      <c r="X210" s="467"/>
      <c r="Y210" s="467"/>
      <c r="Z210" s="467"/>
      <c r="AA210" s="467"/>
      <c r="AB210" s="256"/>
      <c r="AC210" s="256"/>
      <c r="AD210" s="256"/>
      <c r="AE210" s="754"/>
      <c r="AF210" s="754"/>
      <c r="AG210" s="754"/>
      <c r="AH210" s="754"/>
      <c r="AI210" s="754"/>
      <c r="AJ210" s="754"/>
      <c r="AK210" s="754"/>
      <c r="AL210" s="754"/>
      <c r="AM210" s="176"/>
      <c r="AN210" s="176"/>
      <c r="AO210" s="176"/>
      <c r="AP210" s="176"/>
      <c r="AQ210" s="176"/>
      <c r="AR210" s="176"/>
      <c r="AS210" s="176"/>
      <c r="AT210" s="176"/>
      <c r="AU210" s="176"/>
      <c r="AV210" s="176"/>
      <c r="AW210" s="176"/>
      <c r="AX210" s="176"/>
      <c r="AY210" s="176"/>
      <c r="AZ210" s="176"/>
      <c r="BA210" s="176"/>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M210" s="179"/>
      <c r="CN210" s="179"/>
      <c r="CO210" s="179"/>
      <c r="CP210" s="179"/>
      <c r="CQ210" s="179"/>
      <c r="CR210" s="179"/>
      <c r="CS210" s="179"/>
      <c r="CT210" s="179"/>
      <c r="CU210" s="179"/>
      <c r="CV210" s="179"/>
      <c r="CW210" s="179"/>
      <c r="CX210" s="179"/>
      <c r="CY210" s="179"/>
      <c r="CZ210" s="179"/>
    </row>
    <row r="211" spans="1:105" s="246" customFormat="1" ht="15.5" hidden="1" x14ac:dyDescent="0.35">
      <c r="A211" s="439">
        <v>130000</v>
      </c>
      <c r="B211" s="903">
        <v>0.57999999999999996</v>
      </c>
      <c r="C211" s="440">
        <v>0.61</v>
      </c>
      <c r="D211" s="569"/>
      <c r="E211" s="281"/>
      <c r="F211" s="281"/>
      <c r="G211" s="281"/>
      <c r="H211" s="281"/>
      <c r="I211" s="281"/>
      <c r="J211" s="281"/>
      <c r="K211" s="281"/>
      <c r="L211" s="281"/>
      <c r="M211" s="287"/>
      <c r="N211" s="474"/>
      <c r="O211" s="474"/>
      <c r="P211" s="474"/>
      <c r="Q211" s="474"/>
      <c r="R211" s="474"/>
      <c r="S211" s="474"/>
      <c r="T211" s="474"/>
      <c r="U211" s="474"/>
      <c r="V211" s="474"/>
      <c r="W211" s="474"/>
      <c r="X211" s="474"/>
      <c r="Y211" s="474"/>
      <c r="Z211" s="474"/>
      <c r="AA211" s="474"/>
      <c r="AB211" s="256"/>
      <c r="AC211" s="256"/>
      <c r="AD211" s="256"/>
      <c r="AE211" s="759"/>
      <c r="AF211" s="759"/>
      <c r="AG211" s="759"/>
      <c r="AH211" s="759"/>
      <c r="AI211" s="759"/>
      <c r="AJ211" s="759"/>
      <c r="AK211" s="759"/>
      <c r="AL211" s="759"/>
      <c r="AM211" s="256"/>
      <c r="AN211" s="256"/>
      <c r="AO211" s="256"/>
      <c r="AP211" s="256"/>
      <c r="AQ211" s="256"/>
      <c r="AR211" s="256"/>
      <c r="AS211" s="256"/>
      <c r="AT211" s="256"/>
      <c r="AU211" s="256"/>
      <c r="AV211" s="256"/>
      <c r="AW211" s="256"/>
      <c r="AX211" s="256"/>
      <c r="AY211" s="256"/>
      <c r="AZ211" s="256"/>
      <c r="BA211" s="256"/>
    </row>
    <row r="212" spans="1:105" s="246" customFormat="1" ht="15.5" hidden="1" x14ac:dyDescent="0.35">
      <c r="A212" s="439">
        <v>135000</v>
      </c>
      <c r="B212" s="903">
        <v>0.57999999999999996</v>
      </c>
      <c r="C212" s="440">
        <v>0.61</v>
      </c>
      <c r="D212" s="569"/>
      <c r="E212" s="281"/>
      <c r="F212" s="281"/>
      <c r="G212" s="281"/>
      <c r="H212" s="281"/>
      <c r="I212" s="281"/>
      <c r="J212" s="281"/>
      <c r="K212" s="281"/>
      <c r="L212" s="281"/>
      <c r="M212" s="287"/>
      <c r="N212" s="529">
        <f>IF(K73=0,1000000,0)</f>
        <v>1000000</v>
      </c>
      <c r="O212" s="474"/>
      <c r="P212" s="474"/>
      <c r="Q212" s="474"/>
      <c r="R212" s="474"/>
      <c r="S212" s="474"/>
      <c r="T212" s="474"/>
      <c r="U212" s="474"/>
      <c r="V212" s="474"/>
      <c r="W212" s="474"/>
      <c r="X212" s="474"/>
      <c r="Y212" s="474"/>
      <c r="Z212" s="474"/>
      <c r="AA212" s="474"/>
      <c r="AB212" s="256"/>
      <c r="AC212" s="256"/>
      <c r="AD212" s="256"/>
      <c r="AE212" s="759"/>
      <c r="AF212" s="759"/>
      <c r="AG212" s="759"/>
      <c r="AH212" s="759"/>
      <c r="AI212" s="759"/>
      <c r="AJ212" s="759"/>
      <c r="AK212" s="759"/>
      <c r="AL212" s="759"/>
      <c r="AM212" s="256"/>
      <c r="AN212" s="256"/>
      <c r="AO212" s="256"/>
      <c r="AP212" s="256"/>
      <c r="AQ212" s="256"/>
      <c r="AR212" s="256"/>
      <c r="AS212" s="256"/>
      <c r="AT212" s="256"/>
      <c r="AU212" s="256"/>
      <c r="AV212" s="256"/>
      <c r="AW212" s="256"/>
      <c r="AX212" s="256"/>
      <c r="AY212" s="256"/>
      <c r="AZ212" s="256"/>
      <c r="BA212" s="256"/>
    </row>
    <row r="213" spans="1:105" s="246" customFormat="1" ht="9" hidden="1" customHeight="1" x14ac:dyDescent="0.35">
      <c r="A213" s="439">
        <v>140000</v>
      </c>
      <c r="B213" s="903">
        <v>0.57999999999999996</v>
      </c>
      <c r="C213" s="440">
        <v>0.6</v>
      </c>
      <c r="D213" s="569"/>
      <c r="E213" s="281"/>
      <c r="F213" s="281"/>
      <c r="G213" s="281"/>
      <c r="H213" s="281"/>
      <c r="I213" s="281"/>
      <c r="J213" s="281"/>
      <c r="K213" s="281"/>
      <c r="L213" s="281"/>
      <c r="M213" s="287"/>
      <c r="N213" s="529"/>
      <c r="O213" s="474"/>
      <c r="P213" s="474"/>
      <c r="Q213" s="474"/>
      <c r="R213" s="474"/>
      <c r="S213" s="474"/>
      <c r="T213" s="474"/>
      <c r="U213" s="474"/>
      <c r="V213" s="474"/>
      <c r="W213" s="474"/>
      <c r="X213" s="474"/>
      <c r="Y213" s="474"/>
      <c r="Z213" s="474"/>
      <c r="AA213" s="474"/>
      <c r="AB213" s="256"/>
      <c r="AC213" s="256"/>
      <c r="AD213" s="256"/>
      <c r="AE213" s="759"/>
      <c r="AF213" s="759"/>
      <c r="AG213" s="759"/>
      <c r="AH213" s="759"/>
      <c r="AI213" s="759"/>
      <c r="AJ213" s="759"/>
      <c r="AK213" s="759"/>
      <c r="AL213" s="759"/>
      <c r="AM213" s="256"/>
      <c r="AN213" s="256"/>
      <c r="AO213" s="256"/>
      <c r="AP213" s="256"/>
      <c r="AQ213" s="256"/>
      <c r="AR213" s="256"/>
      <c r="AS213" s="256"/>
      <c r="AT213" s="256"/>
      <c r="AU213" s="256"/>
      <c r="AV213" s="256"/>
      <c r="AW213" s="256"/>
      <c r="AX213" s="256"/>
      <c r="AY213" s="256"/>
      <c r="AZ213" s="256"/>
      <c r="BA213" s="256"/>
    </row>
    <row r="214" spans="1:105" s="246" customFormat="1" ht="15.5" hidden="1" x14ac:dyDescent="0.35">
      <c r="A214" s="439">
        <v>145000</v>
      </c>
      <c r="B214" s="903">
        <v>0.56999999999999995</v>
      </c>
      <c r="C214" s="440">
        <v>0.6</v>
      </c>
      <c r="D214" s="569"/>
      <c r="E214" s="281"/>
      <c r="F214" s="281"/>
      <c r="G214" s="281"/>
      <c r="H214" s="281"/>
      <c r="I214" s="281"/>
      <c r="J214" s="281"/>
      <c r="K214" s="281"/>
      <c r="L214" s="281"/>
      <c r="M214" s="287"/>
      <c r="N214" s="474">
        <f>IF(G140&lt;=E140,0,1)</f>
        <v>0</v>
      </c>
      <c r="O214" s="474"/>
      <c r="P214" s="474"/>
      <c r="Q214" s="474"/>
      <c r="R214" s="474"/>
      <c r="S214" s="474"/>
      <c r="T214" s="474"/>
      <c r="U214" s="474"/>
      <c r="V214" s="474"/>
      <c r="W214" s="474"/>
      <c r="X214" s="474"/>
      <c r="Y214" s="474"/>
      <c r="Z214" s="474"/>
      <c r="AA214" s="474"/>
      <c r="AB214" s="256"/>
      <c r="AC214" s="256"/>
      <c r="AD214" s="256"/>
      <c r="AE214" s="759"/>
      <c r="AF214" s="759"/>
      <c r="AG214" s="759"/>
      <c r="AH214" s="759"/>
      <c r="AI214" s="759"/>
      <c r="AJ214" s="759"/>
      <c r="AK214" s="759"/>
      <c r="AL214" s="759"/>
      <c r="AM214" s="256"/>
      <c r="AN214" s="256"/>
      <c r="AO214" s="256"/>
      <c r="AP214" s="256"/>
      <c r="AQ214" s="256"/>
      <c r="AR214" s="256"/>
      <c r="AS214" s="256"/>
      <c r="AT214" s="256"/>
      <c r="AU214" s="256"/>
      <c r="AV214" s="256"/>
      <c r="AW214" s="256"/>
      <c r="AX214" s="256"/>
      <c r="AY214" s="256"/>
      <c r="AZ214" s="256"/>
      <c r="BA214" s="256"/>
    </row>
    <row r="215" spans="1:105" s="246" customFormat="1" ht="10.5" hidden="1" customHeight="1" x14ac:dyDescent="0.35">
      <c r="A215" s="439">
        <v>150000</v>
      </c>
      <c r="B215" s="903">
        <v>0.56999999999999995</v>
      </c>
      <c r="C215" s="440">
        <v>0.59</v>
      </c>
      <c r="D215" s="569"/>
      <c r="E215" s="281"/>
      <c r="F215" s="281"/>
      <c r="G215" s="281"/>
      <c r="H215" s="281"/>
      <c r="I215" s="281"/>
      <c r="J215" s="281"/>
      <c r="K215" s="281"/>
      <c r="L215" s="281"/>
      <c r="M215" s="287"/>
      <c r="N215" s="474"/>
      <c r="O215" s="474"/>
      <c r="P215" s="474"/>
      <c r="Q215" s="474"/>
      <c r="R215" s="474"/>
      <c r="S215" s="474"/>
      <c r="T215" s="474"/>
      <c r="U215" s="474"/>
      <c r="V215" s="474"/>
      <c r="W215" s="474"/>
      <c r="X215" s="474"/>
      <c r="Y215" s="474"/>
      <c r="Z215" s="474"/>
      <c r="AA215" s="474"/>
      <c r="AB215" s="256"/>
      <c r="AC215" s="256"/>
      <c r="AD215" s="256"/>
      <c r="AE215" s="759"/>
      <c r="AF215" s="759"/>
      <c r="AG215" s="759"/>
      <c r="AH215" s="759"/>
      <c r="AI215" s="759"/>
      <c r="AJ215" s="759"/>
      <c r="AK215" s="759"/>
      <c r="AL215" s="759"/>
      <c r="AM215" s="256"/>
      <c r="AN215" s="256"/>
      <c r="AO215" s="256"/>
      <c r="AP215" s="256"/>
      <c r="AQ215" s="256"/>
      <c r="AR215" s="256"/>
      <c r="AS215" s="256"/>
      <c r="AT215" s="256"/>
      <c r="AU215" s="256"/>
      <c r="AV215" s="256"/>
      <c r="AW215" s="256"/>
      <c r="AX215" s="256"/>
      <c r="AY215" s="256"/>
      <c r="AZ215" s="256"/>
      <c r="BA215" s="256"/>
    </row>
    <row r="216" spans="1:105" s="246" customFormat="1" ht="15.5" hidden="1" x14ac:dyDescent="0.35">
      <c r="A216" s="439">
        <v>155000</v>
      </c>
      <c r="B216" s="903">
        <v>0.56999999999999995</v>
      </c>
      <c r="C216" s="440">
        <v>0.59</v>
      </c>
      <c r="D216" s="569"/>
      <c r="E216" s="281"/>
      <c r="F216" s="281"/>
      <c r="G216" s="281"/>
      <c r="H216" s="281"/>
      <c r="I216" s="281"/>
      <c r="J216" s="281"/>
      <c r="K216" s="281"/>
      <c r="L216" s="281"/>
      <c r="M216" s="287"/>
      <c r="N216" s="474">
        <f>IF(G142&gt;=E142,0,1)</f>
        <v>0</v>
      </c>
      <c r="O216" s="474"/>
      <c r="P216" s="474"/>
      <c r="Q216" s="474"/>
      <c r="R216" s="474"/>
      <c r="S216" s="474"/>
      <c r="T216" s="474"/>
      <c r="U216" s="474"/>
      <c r="V216" s="474"/>
      <c r="W216" s="474"/>
      <c r="X216" s="474"/>
      <c r="Y216" s="474"/>
      <c r="Z216" s="474"/>
      <c r="AA216" s="474"/>
      <c r="AB216" s="448"/>
      <c r="AC216" s="448"/>
      <c r="AD216" s="448"/>
      <c r="AE216" s="759"/>
      <c r="AF216" s="759"/>
      <c r="AG216" s="759"/>
      <c r="AH216" s="759"/>
      <c r="AI216" s="759"/>
      <c r="AJ216" s="759"/>
      <c r="AK216" s="759"/>
      <c r="AL216" s="759"/>
      <c r="AM216" s="256"/>
      <c r="AN216" s="256"/>
      <c r="AO216" s="256"/>
      <c r="AP216" s="256"/>
      <c r="AQ216" s="256"/>
      <c r="AR216" s="256"/>
      <c r="AS216" s="256"/>
      <c r="AT216" s="256"/>
      <c r="AU216" s="256"/>
      <c r="AV216" s="256"/>
      <c r="AW216" s="256"/>
      <c r="AX216" s="256"/>
      <c r="AY216" s="256"/>
      <c r="AZ216" s="256"/>
      <c r="BA216" s="256"/>
    </row>
    <row r="217" spans="1:105" s="246" customFormat="1" ht="22.5" hidden="1" customHeight="1" x14ac:dyDescent="0.35">
      <c r="A217" s="439">
        <v>160000</v>
      </c>
      <c r="B217" s="903">
        <v>0.56000000000000005</v>
      </c>
      <c r="C217" s="440">
        <v>0.59</v>
      </c>
      <c r="D217" s="569"/>
      <c r="E217" s="281"/>
      <c r="F217" s="281"/>
      <c r="G217" s="281"/>
      <c r="H217" s="281"/>
      <c r="I217" s="281"/>
      <c r="J217" s="281"/>
      <c r="K217" s="281"/>
      <c r="L217" s="281"/>
      <c r="M217" s="287"/>
      <c r="N217" s="474"/>
      <c r="O217" s="474"/>
      <c r="P217" s="474"/>
      <c r="Q217" s="474"/>
      <c r="R217" s="474"/>
      <c r="S217" s="474"/>
      <c r="T217" s="474"/>
      <c r="U217" s="474"/>
      <c r="V217" s="474"/>
      <c r="W217" s="474"/>
      <c r="X217" s="474"/>
      <c r="Y217" s="474"/>
      <c r="Z217" s="474"/>
      <c r="AA217" s="474"/>
      <c r="AB217" s="177"/>
      <c r="AC217" s="177"/>
      <c r="AD217" s="177"/>
      <c r="AE217" s="759"/>
      <c r="AF217" s="759"/>
      <c r="AG217" s="759"/>
      <c r="AH217" s="759"/>
      <c r="AI217" s="759"/>
      <c r="AJ217" s="759"/>
      <c r="AK217" s="759"/>
      <c r="AL217" s="759"/>
      <c r="AM217" s="256"/>
      <c r="AN217" s="256"/>
      <c r="AO217" s="256"/>
      <c r="AP217" s="256"/>
      <c r="AQ217" s="256"/>
      <c r="AR217" s="256"/>
      <c r="AS217" s="256"/>
      <c r="AT217" s="256"/>
      <c r="AU217" s="256"/>
      <c r="AV217" s="256"/>
      <c r="AW217" s="256"/>
      <c r="AX217" s="256"/>
      <c r="AY217" s="256"/>
      <c r="AZ217" s="256"/>
      <c r="BA217" s="256"/>
    </row>
    <row r="218" spans="1:105" s="246" customFormat="1" ht="15.5" hidden="1" x14ac:dyDescent="0.35">
      <c r="A218" s="439">
        <v>165000</v>
      </c>
      <c r="B218" s="903">
        <v>0.56000000000000005</v>
      </c>
      <c r="C218" s="440">
        <v>0.57999999999999996</v>
      </c>
      <c r="D218" s="569"/>
      <c r="E218" s="281"/>
      <c r="F218" s="281"/>
      <c r="G218" s="281"/>
      <c r="H218" s="281"/>
      <c r="I218" s="281"/>
      <c r="J218" s="281"/>
      <c r="K218" s="281"/>
      <c r="L218" s="281"/>
      <c r="M218" s="287"/>
      <c r="N218" s="474">
        <f>IF(G144&lt;=E144,0,1)</f>
        <v>0</v>
      </c>
      <c r="O218" s="474"/>
      <c r="P218" s="474"/>
      <c r="Q218" s="474"/>
      <c r="R218" s="474"/>
      <c r="S218" s="474"/>
      <c r="T218" s="474"/>
      <c r="U218" s="474"/>
      <c r="V218" s="474"/>
      <c r="W218" s="474"/>
      <c r="X218" s="474"/>
      <c r="Y218" s="474"/>
      <c r="Z218" s="474"/>
      <c r="AA218" s="474"/>
      <c r="AB218" s="177"/>
      <c r="AC218" s="177"/>
      <c r="AD218" s="177"/>
      <c r="AE218" s="759"/>
      <c r="AF218" s="759"/>
      <c r="AG218" s="759"/>
      <c r="AH218" s="759"/>
      <c r="AI218" s="759"/>
      <c r="AJ218" s="759"/>
      <c r="AK218" s="759"/>
      <c r="AL218" s="759"/>
      <c r="AM218" s="256"/>
      <c r="AN218" s="256"/>
      <c r="AO218" s="256"/>
      <c r="AP218" s="256"/>
      <c r="AQ218" s="256"/>
      <c r="AR218" s="256"/>
      <c r="AS218" s="256"/>
      <c r="AT218" s="256"/>
      <c r="AU218" s="256"/>
      <c r="AV218" s="256"/>
      <c r="AW218" s="256"/>
      <c r="AX218" s="256"/>
      <c r="AY218" s="256"/>
      <c r="AZ218" s="256"/>
      <c r="BA218" s="256"/>
    </row>
    <row r="219" spans="1:105" s="246" customFormat="1" ht="10.5" hidden="1" customHeight="1" x14ac:dyDescent="0.35">
      <c r="A219" s="439">
        <v>170000</v>
      </c>
      <c r="B219" s="903">
        <v>0.56000000000000005</v>
      </c>
      <c r="C219" s="440">
        <v>0.57999999999999996</v>
      </c>
      <c r="D219" s="569"/>
      <c r="E219" s="281"/>
      <c r="F219" s="281"/>
      <c r="G219" s="281"/>
      <c r="H219" s="281"/>
      <c r="I219" s="281"/>
      <c r="J219" s="281"/>
      <c r="K219" s="281"/>
      <c r="L219" s="281"/>
      <c r="M219" s="287"/>
      <c r="N219" s="474"/>
      <c r="O219" s="474"/>
      <c r="P219" s="474"/>
      <c r="Q219" s="474"/>
      <c r="R219" s="474"/>
      <c r="S219" s="474"/>
      <c r="T219" s="474"/>
      <c r="U219" s="474"/>
      <c r="V219" s="474"/>
      <c r="W219" s="474"/>
      <c r="X219" s="474"/>
      <c r="Y219" s="474"/>
      <c r="Z219" s="474"/>
      <c r="AA219" s="474"/>
      <c r="AB219" s="177"/>
      <c r="AC219" s="177"/>
      <c r="AD219" s="177"/>
      <c r="AE219" s="759"/>
      <c r="AF219" s="759"/>
      <c r="AG219" s="759"/>
      <c r="AH219" s="759"/>
      <c r="AI219" s="759"/>
      <c r="AJ219" s="759"/>
      <c r="AK219" s="759"/>
      <c r="AL219" s="759"/>
      <c r="AM219" s="256"/>
      <c r="AN219" s="256"/>
      <c r="AO219" s="256"/>
      <c r="AP219" s="256"/>
      <c r="AQ219" s="256"/>
      <c r="AR219" s="256"/>
      <c r="AS219" s="256"/>
      <c r="AT219" s="256"/>
      <c r="AU219" s="256"/>
      <c r="AV219" s="256"/>
      <c r="AW219" s="256"/>
      <c r="AX219" s="256"/>
      <c r="AY219" s="256"/>
      <c r="AZ219" s="256"/>
      <c r="BA219" s="256"/>
    </row>
    <row r="220" spans="1:105" s="315" customFormat="1" ht="15.5" hidden="1" x14ac:dyDescent="0.35">
      <c r="A220" s="439">
        <v>175000</v>
      </c>
      <c r="B220" s="903">
        <v>0.56000000000000005</v>
      </c>
      <c r="C220" s="440">
        <v>0.57999999999999996</v>
      </c>
      <c r="D220" s="569"/>
      <c r="E220" s="281"/>
      <c r="F220" s="281"/>
      <c r="G220" s="281"/>
      <c r="H220" s="281"/>
      <c r="I220" s="281"/>
      <c r="J220" s="281"/>
      <c r="K220" s="281"/>
      <c r="L220" s="281"/>
      <c r="M220" s="276"/>
      <c r="N220" s="532"/>
      <c r="O220" s="533"/>
      <c r="P220" s="533"/>
      <c r="Q220" s="533"/>
      <c r="R220" s="533"/>
      <c r="S220" s="533"/>
      <c r="T220" s="533"/>
      <c r="U220" s="533"/>
      <c r="V220" s="533"/>
      <c r="W220" s="533"/>
      <c r="X220" s="533"/>
      <c r="Y220" s="535"/>
      <c r="Z220" s="474"/>
      <c r="AA220" s="474"/>
      <c r="AB220" s="177"/>
      <c r="AC220" s="177"/>
      <c r="AD220" s="177"/>
      <c r="AE220" s="768"/>
      <c r="AF220" s="768"/>
      <c r="AG220" s="768"/>
      <c r="AH220" s="768"/>
      <c r="AI220" s="768"/>
      <c r="AJ220" s="768"/>
      <c r="AK220" s="768"/>
      <c r="AL220" s="768"/>
      <c r="AM220" s="448"/>
      <c r="AN220" s="448"/>
      <c r="AO220" s="448"/>
      <c r="AP220" s="448"/>
      <c r="AQ220" s="448"/>
      <c r="AR220" s="448"/>
      <c r="AS220" s="448"/>
      <c r="AT220" s="448"/>
      <c r="AU220" s="448"/>
      <c r="AV220" s="448"/>
      <c r="AW220" s="256"/>
      <c r="AX220" s="448"/>
      <c r="AY220" s="448"/>
      <c r="AZ220" s="448"/>
      <c r="BA220" s="446"/>
      <c r="BN220" s="420"/>
      <c r="BO220" s="250"/>
      <c r="BP220" s="250"/>
      <c r="BQ220" s="250"/>
      <c r="BR220" s="250"/>
      <c r="BS220" s="250"/>
      <c r="BT220" s="250"/>
      <c r="BU220" s="250"/>
      <c r="BV220" s="250"/>
      <c r="BW220" s="250"/>
      <c r="BX220" s="250"/>
      <c r="BY220" s="250"/>
      <c r="BZ220" s="250"/>
      <c r="CA220" s="250"/>
      <c r="CB220" s="250"/>
      <c r="CC220" s="250"/>
      <c r="CD220" s="250"/>
      <c r="CE220" s="250"/>
      <c r="CF220" s="250"/>
      <c r="CG220" s="250"/>
      <c r="CH220" s="419"/>
      <c r="CL220" s="447"/>
      <c r="CM220" s="250"/>
      <c r="CN220" s="250"/>
      <c r="CO220" s="250"/>
      <c r="CP220" s="250"/>
      <c r="CQ220" s="250"/>
      <c r="CR220" s="250"/>
      <c r="CS220" s="250"/>
      <c r="CT220" s="250"/>
      <c r="CU220" s="250"/>
      <c r="CV220" s="250"/>
      <c r="CW220" s="250"/>
      <c r="CX220" s="250"/>
      <c r="CY220" s="250"/>
      <c r="CZ220" s="250"/>
      <c r="DA220" s="419"/>
    </row>
    <row r="221" spans="1:105" ht="10.5" hidden="1" customHeight="1" x14ac:dyDescent="0.35">
      <c r="A221" s="439">
        <v>180000</v>
      </c>
      <c r="B221" s="903">
        <v>0.55000000000000004</v>
      </c>
      <c r="C221" s="440">
        <v>0.56999999999999995</v>
      </c>
      <c r="D221" s="569"/>
      <c r="AB221" s="256"/>
      <c r="AC221" s="256"/>
      <c r="AD221" s="256"/>
      <c r="AW221" s="258"/>
    </row>
    <row r="222" spans="1:105" ht="15.5" hidden="1" x14ac:dyDescent="0.35">
      <c r="A222" s="439">
        <v>185000</v>
      </c>
      <c r="B222" s="903">
        <v>0.55000000000000004</v>
      </c>
      <c r="C222" s="440">
        <v>0.56999999999999995</v>
      </c>
      <c r="D222" s="569"/>
      <c r="AB222" s="256"/>
      <c r="AC222" s="256"/>
      <c r="AD222" s="256"/>
    </row>
    <row r="223" spans="1:105" ht="14.25" hidden="1" customHeight="1" x14ac:dyDescent="0.35">
      <c r="A223" s="439">
        <v>190000</v>
      </c>
      <c r="B223" s="903">
        <v>0.55000000000000004</v>
      </c>
      <c r="C223" s="440">
        <v>0.56999999999999995</v>
      </c>
      <c r="D223" s="569"/>
      <c r="AB223" s="256"/>
      <c r="AC223" s="256"/>
      <c r="AD223" s="256"/>
    </row>
    <row r="224" spans="1:105" ht="13.5" hidden="1" customHeight="1" x14ac:dyDescent="0.35">
      <c r="A224" s="439">
        <v>195000</v>
      </c>
      <c r="B224" s="903">
        <v>0.55000000000000004</v>
      </c>
      <c r="C224" s="440">
        <v>0.56999999999999995</v>
      </c>
      <c r="D224" s="569"/>
      <c r="AB224" s="256"/>
      <c r="AC224" s="256"/>
      <c r="AD224" s="256"/>
    </row>
    <row r="225" spans="1:53" s="246" customFormat="1" ht="21" hidden="1" customHeight="1" x14ac:dyDescent="0.35">
      <c r="A225" s="449">
        <v>200000</v>
      </c>
      <c r="B225" s="904">
        <v>0.55000000000000004</v>
      </c>
      <c r="C225" s="450">
        <v>0.56000000000000005</v>
      </c>
      <c r="D225" s="569"/>
      <c r="E225" s="281"/>
      <c r="F225" s="281"/>
      <c r="G225" s="281"/>
      <c r="H225" s="281"/>
      <c r="I225" s="281"/>
      <c r="J225" s="281"/>
      <c r="K225" s="281"/>
      <c r="L225" s="281"/>
      <c r="M225" s="287"/>
      <c r="N225" s="529" t="e">
        <f>K73-K111-K38</f>
        <v>#DIV/0!</v>
      </c>
      <c r="O225" s="474"/>
      <c r="P225" s="474"/>
      <c r="Q225" s="474"/>
      <c r="R225" s="474"/>
      <c r="S225" s="474"/>
      <c r="T225" s="474"/>
      <c r="U225" s="474"/>
      <c r="V225" s="474"/>
      <c r="W225" s="474"/>
      <c r="X225" s="474"/>
      <c r="Y225" s="474"/>
      <c r="Z225" s="474"/>
      <c r="AA225" s="474"/>
      <c r="AB225" s="256"/>
      <c r="AC225" s="256"/>
      <c r="AD225" s="256"/>
      <c r="AE225" s="759"/>
      <c r="AF225" s="759"/>
      <c r="AG225" s="759"/>
      <c r="AH225" s="759"/>
      <c r="AI225" s="759"/>
      <c r="AJ225" s="759"/>
      <c r="AK225" s="759"/>
      <c r="AL225" s="759"/>
      <c r="AM225" s="256"/>
      <c r="AN225" s="256"/>
      <c r="AO225" s="256"/>
      <c r="AP225" s="256"/>
      <c r="AQ225" s="256"/>
      <c r="AR225" s="256"/>
      <c r="AS225" s="256"/>
      <c r="AT225" s="256"/>
      <c r="AU225" s="256"/>
      <c r="AV225" s="256"/>
      <c r="AW225" s="256"/>
      <c r="AX225" s="256"/>
      <c r="AY225" s="256"/>
      <c r="AZ225" s="256"/>
      <c r="BA225" s="256"/>
    </row>
    <row r="226" spans="1:53" s="246" customFormat="1" ht="15.5" hidden="1" x14ac:dyDescent="0.35">
      <c r="A226" s="451">
        <v>205000</v>
      </c>
      <c r="B226" s="905">
        <v>0.55000000000000004</v>
      </c>
      <c r="C226" s="452">
        <v>0.56000000000000005</v>
      </c>
      <c r="D226" s="569"/>
      <c r="E226" s="281"/>
      <c r="F226" s="281"/>
      <c r="G226" s="281"/>
      <c r="H226" s="281"/>
      <c r="I226" s="281"/>
      <c r="J226" s="281"/>
      <c r="K226" s="281"/>
      <c r="L226" s="281"/>
      <c r="M226" s="287"/>
      <c r="N226" s="474"/>
      <c r="O226" s="474"/>
      <c r="P226" s="474"/>
      <c r="Q226" s="474"/>
      <c r="R226" s="474"/>
      <c r="S226" s="474"/>
      <c r="T226" s="474"/>
      <c r="U226" s="474"/>
      <c r="V226" s="474"/>
      <c r="W226" s="474"/>
      <c r="X226" s="474"/>
      <c r="Y226" s="474"/>
      <c r="Z226" s="474"/>
      <c r="AA226" s="474"/>
      <c r="AB226" s="256"/>
      <c r="AC226" s="256"/>
      <c r="AD226" s="256"/>
      <c r="AE226" s="759"/>
      <c r="AF226" s="759"/>
      <c r="AG226" s="759"/>
      <c r="AH226" s="759"/>
      <c r="AI226" s="759"/>
      <c r="AJ226" s="759"/>
      <c r="AK226" s="759"/>
      <c r="AL226" s="759"/>
      <c r="AM226" s="256"/>
      <c r="AN226" s="256"/>
      <c r="AO226" s="256"/>
      <c r="AP226" s="256"/>
      <c r="AQ226" s="256"/>
      <c r="AR226" s="256"/>
      <c r="AS226" s="256"/>
      <c r="AT226" s="256"/>
      <c r="AU226" s="256"/>
      <c r="AV226" s="256"/>
      <c r="AW226" s="256"/>
      <c r="AX226" s="256"/>
      <c r="AY226" s="256"/>
      <c r="AZ226" s="256"/>
      <c r="BA226" s="256"/>
    </row>
    <row r="227" spans="1:53" s="246" customFormat="1" ht="15.5" hidden="1" x14ac:dyDescent="0.35">
      <c r="A227" s="439">
        <v>210000</v>
      </c>
      <c r="B227" s="903">
        <v>0.54</v>
      </c>
      <c r="C227" s="440">
        <v>0.56000000000000005</v>
      </c>
      <c r="D227" s="569"/>
      <c r="E227" s="281"/>
      <c r="F227" s="281"/>
      <c r="G227" s="281"/>
      <c r="H227" s="281"/>
      <c r="I227" s="281"/>
      <c r="J227" s="281"/>
      <c r="K227" s="281"/>
      <c r="L227" s="281"/>
      <c r="M227" s="287"/>
      <c r="N227" s="474"/>
      <c r="O227" s="474"/>
      <c r="P227" s="474"/>
      <c r="Q227" s="474"/>
      <c r="R227" s="474"/>
      <c r="S227" s="474"/>
      <c r="T227" s="474"/>
      <c r="U227" s="474"/>
      <c r="V227" s="474"/>
      <c r="W227" s="474"/>
      <c r="X227" s="474"/>
      <c r="Y227" s="474"/>
      <c r="Z227" s="474"/>
      <c r="AA227" s="474"/>
      <c r="AB227" s="177"/>
      <c r="AC227" s="177"/>
      <c r="AD227" s="177"/>
      <c r="AE227" s="759"/>
      <c r="AF227" s="759"/>
      <c r="AG227" s="759"/>
      <c r="AH227" s="759"/>
      <c r="AI227" s="759"/>
      <c r="AJ227" s="759"/>
      <c r="AK227" s="759"/>
      <c r="AL227" s="759"/>
      <c r="AM227" s="256"/>
      <c r="AN227" s="256"/>
      <c r="AO227" s="256"/>
      <c r="AP227" s="256"/>
      <c r="AQ227" s="256"/>
      <c r="AR227" s="256"/>
      <c r="AS227" s="256"/>
      <c r="AT227" s="256"/>
      <c r="AU227" s="256"/>
      <c r="AV227" s="256"/>
      <c r="AW227" s="256"/>
      <c r="AX227" s="256"/>
      <c r="AY227" s="256"/>
      <c r="AZ227" s="256"/>
      <c r="BA227" s="256"/>
    </row>
    <row r="228" spans="1:53" s="246" customFormat="1" ht="19.5" hidden="1" customHeight="1" x14ac:dyDescent="0.35">
      <c r="A228" s="439">
        <v>215000</v>
      </c>
      <c r="B228" s="903">
        <v>0.54</v>
      </c>
      <c r="C228" s="440">
        <v>0.56000000000000005</v>
      </c>
      <c r="D228" s="569"/>
      <c r="E228" s="281"/>
      <c r="F228" s="281"/>
      <c r="G228" s="281"/>
      <c r="H228" s="281"/>
      <c r="I228" s="281"/>
      <c r="J228" s="281"/>
      <c r="K228" s="281"/>
      <c r="L228" s="281"/>
      <c r="M228" s="287"/>
      <c r="N228" s="474"/>
      <c r="O228" s="474"/>
      <c r="P228" s="474"/>
      <c r="Q228" s="474"/>
      <c r="R228" s="474"/>
      <c r="S228" s="474"/>
      <c r="T228" s="474"/>
      <c r="U228" s="474"/>
      <c r="V228" s="474"/>
      <c r="W228" s="474"/>
      <c r="X228" s="474"/>
      <c r="Y228" s="474"/>
      <c r="Z228" s="474"/>
      <c r="AA228" s="474"/>
      <c r="AB228" s="177"/>
      <c r="AC228" s="177"/>
      <c r="AD228" s="177"/>
      <c r="AE228" s="759"/>
      <c r="AF228" s="759"/>
      <c r="AG228" s="759"/>
      <c r="AH228" s="759"/>
      <c r="AI228" s="759"/>
      <c r="AJ228" s="759"/>
      <c r="AK228" s="759"/>
      <c r="AL228" s="759"/>
      <c r="AM228" s="256"/>
      <c r="AN228" s="256"/>
      <c r="AO228" s="256"/>
      <c r="AP228" s="256"/>
      <c r="AQ228" s="256"/>
      <c r="AR228" s="256"/>
      <c r="AS228" s="256"/>
      <c r="AT228" s="256"/>
      <c r="AU228" s="256"/>
      <c r="AV228" s="256"/>
      <c r="AW228" s="256"/>
      <c r="AX228" s="256"/>
      <c r="AY228" s="256"/>
      <c r="AZ228" s="256"/>
      <c r="BA228" s="256"/>
    </row>
    <row r="229" spans="1:53" s="246" customFormat="1" ht="3" hidden="1" customHeight="1" x14ac:dyDescent="0.35">
      <c r="A229" s="439">
        <v>220000</v>
      </c>
      <c r="B229" s="903">
        <v>0.54</v>
      </c>
      <c r="C229" s="440">
        <v>0.56000000000000005</v>
      </c>
      <c r="D229" s="569"/>
      <c r="E229" s="281"/>
      <c r="F229" s="281"/>
      <c r="G229" s="281"/>
      <c r="H229" s="281"/>
      <c r="I229" s="281"/>
      <c r="J229" s="281"/>
      <c r="K229" s="281"/>
      <c r="L229" s="281"/>
      <c r="M229" s="287"/>
      <c r="N229" s="474"/>
      <c r="O229" s="474"/>
      <c r="P229" s="474"/>
      <c r="Q229" s="474"/>
      <c r="R229" s="474"/>
      <c r="S229" s="474"/>
      <c r="T229" s="474"/>
      <c r="U229" s="474"/>
      <c r="V229" s="474"/>
      <c r="W229" s="474"/>
      <c r="X229" s="474"/>
      <c r="Y229" s="474"/>
      <c r="Z229" s="474"/>
      <c r="AA229" s="474"/>
      <c r="AB229" s="177"/>
      <c r="AC229" s="177"/>
      <c r="AD229" s="177"/>
      <c r="AE229" s="759"/>
      <c r="AF229" s="759"/>
      <c r="AG229" s="759"/>
      <c r="AH229" s="759"/>
      <c r="AI229" s="759"/>
      <c r="AJ229" s="759"/>
      <c r="AK229" s="759"/>
      <c r="AL229" s="759"/>
      <c r="AM229" s="256"/>
      <c r="AN229" s="256"/>
      <c r="AO229" s="256"/>
      <c r="AP229" s="256"/>
      <c r="AQ229" s="256"/>
      <c r="AR229" s="256"/>
      <c r="AS229" s="256"/>
      <c r="AT229" s="256"/>
      <c r="AU229" s="256"/>
      <c r="AV229" s="256"/>
      <c r="AW229" s="256"/>
      <c r="AX229" s="256"/>
      <c r="AY229" s="256"/>
      <c r="AZ229" s="256"/>
      <c r="BA229" s="256"/>
    </row>
    <row r="230" spans="1:53" s="246" customFormat="1" ht="6.75" hidden="1" customHeight="1" x14ac:dyDescent="0.35">
      <c r="A230" s="439">
        <v>225000</v>
      </c>
      <c r="B230" s="903">
        <v>0.54</v>
      </c>
      <c r="C230" s="440">
        <v>0.56000000000000005</v>
      </c>
      <c r="D230" s="569"/>
      <c r="E230" s="281"/>
      <c r="F230" s="281"/>
      <c r="G230" s="281"/>
      <c r="H230" s="281"/>
      <c r="I230" s="281"/>
      <c r="J230" s="281"/>
      <c r="K230" s="281"/>
      <c r="L230" s="281"/>
      <c r="M230" s="287"/>
      <c r="N230" s="474"/>
      <c r="O230" s="474"/>
      <c r="P230" s="474"/>
      <c r="Q230" s="474"/>
      <c r="R230" s="474"/>
      <c r="S230" s="474"/>
      <c r="T230" s="474"/>
      <c r="U230" s="474"/>
      <c r="V230" s="474"/>
      <c r="W230" s="474"/>
      <c r="X230" s="474"/>
      <c r="Y230" s="474"/>
      <c r="Z230" s="474"/>
      <c r="AA230" s="474"/>
      <c r="AB230" s="177"/>
      <c r="AC230" s="177"/>
      <c r="AD230" s="177"/>
      <c r="AE230" s="759"/>
      <c r="AF230" s="759"/>
      <c r="AG230" s="759"/>
      <c r="AH230" s="759"/>
      <c r="AI230" s="759"/>
      <c r="AJ230" s="759"/>
      <c r="AK230" s="759"/>
      <c r="AL230" s="759"/>
      <c r="AM230" s="256"/>
      <c r="AN230" s="256"/>
      <c r="AO230" s="256"/>
      <c r="AP230" s="256"/>
      <c r="AQ230" s="256"/>
      <c r="AR230" s="256"/>
      <c r="AS230" s="256"/>
      <c r="AT230" s="256"/>
      <c r="AU230" s="256"/>
      <c r="AV230" s="256"/>
      <c r="AW230" s="256"/>
      <c r="AX230" s="256"/>
      <c r="AY230" s="256"/>
      <c r="AZ230" s="256"/>
      <c r="BA230" s="256"/>
    </row>
    <row r="231" spans="1:53" ht="15.5" hidden="1" x14ac:dyDescent="0.35">
      <c r="A231" s="439">
        <v>230000</v>
      </c>
      <c r="B231" s="903">
        <v>0.54</v>
      </c>
      <c r="C231" s="440">
        <v>0.55000000000000004</v>
      </c>
      <c r="D231" s="569"/>
    </row>
    <row r="232" spans="1:53" ht="15.5" hidden="1" x14ac:dyDescent="0.35">
      <c r="A232" s="439">
        <v>235000</v>
      </c>
      <c r="B232" s="903">
        <v>0.54</v>
      </c>
      <c r="C232" s="440">
        <v>0.55000000000000004</v>
      </c>
      <c r="D232" s="569"/>
    </row>
    <row r="233" spans="1:53" ht="15.5" hidden="1" x14ac:dyDescent="0.35">
      <c r="A233" s="439">
        <v>240000</v>
      </c>
      <c r="B233" s="903">
        <v>0.54</v>
      </c>
      <c r="C233" s="440">
        <v>0.55000000000000004</v>
      </c>
      <c r="D233" s="569"/>
    </row>
    <row r="234" spans="1:53" ht="15.5" hidden="1" x14ac:dyDescent="0.35">
      <c r="A234" s="439">
        <v>245000</v>
      </c>
      <c r="B234" s="903">
        <v>0.54</v>
      </c>
      <c r="C234" s="440">
        <v>0.55000000000000004</v>
      </c>
      <c r="D234" s="569"/>
    </row>
    <row r="235" spans="1:53" ht="15.5" hidden="1" x14ac:dyDescent="0.35">
      <c r="A235" s="449">
        <v>250000</v>
      </c>
      <c r="B235" s="904">
        <v>0.53</v>
      </c>
      <c r="C235" s="450">
        <v>0.55000000000000004</v>
      </c>
      <c r="D235" s="569"/>
    </row>
    <row r="236" spans="1:53" ht="15.5" hidden="1" x14ac:dyDescent="0.35">
      <c r="A236" s="451">
        <v>255000</v>
      </c>
      <c r="B236" s="905">
        <v>0.53</v>
      </c>
      <c r="C236" s="452">
        <v>0.55000000000000004</v>
      </c>
      <c r="D236" s="569"/>
    </row>
    <row r="237" spans="1:53" ht="15.5" hidden="1" x14ac:dyDescent="0.35">
      <c r="A237" s="439">
        <v>260000</v>
      </c>
      <c r="B237" s="903">
        <v>0.53</v>
      </c>
      <c r="C237" s="440">
        <v>0.55000000000000004</v>
      </c>
      <c r="D237" s="569"/>
    </row>
    <row r="238" spans="1:53" ht="15.5" hidden="1" x14ac:dyDescent="0.35">
      <c r="A238" s="439">
        <v>265000</v>
      </c>
      <c r="B238" s="903">
        <v>0.53</v>
      </c>
      <c r="C238" s="440">
        <v>0.54</v>
      </c>
      <c r="D238" s="569"/>
    </row>
    <row r="239" spans="1:53" ht="15.5" hidden="1" x14ac:dyDescent="0.35">
      <c r="A239" s="439">
        <v>270000</v>
      </c>
      <c r="B239" s="903">
        <v>0.53</v>
      </c>
      <c r="C239" s="440">
        <v>0.54</v>
      </c>
      <c r="D239" s="569"/>
    </row>
    <row r="240" spans="1:53" ht="15.5" hidden="1" x14ac:dyDescent="0.35">
      <c r="A240" s="439">
        <v>275000</v>
      </c>
      <c r="B240" s="903">
        <v>0.53</v>
      </c>
      <c r="C240" s="440">
        <v>0.54</v>
      </c>
      <c r="D240" s="569"/>
    </row>
    <row r="241" spans="1:4" ht="15.5" hidden="1" x14ac:dyDescent="0.35">
      <c r="A241" s="439">
        <v>280000</v>
      </c>
      <c r="B241" s="903">
        <v>0.53</v>
      </c>
      <c r="C241" s="440">
        <v>0.54</v>
      </c>
      <c r="D241" s="569"/>
    </row>
    <row r="242" spans="1:4" ht="15.5" hidden="1" x14ac:dyDescent="0.35">
      <c r="A242" s="439">
        <v>285000</v>
      </c>
      <c r="B242" s="903">
        <v>0.53</v>
      </c>
      <c r="C242" s="440">
        <v>0.54</v>
      </c>
      <c r="D242" s="569"/>
    </row>
    <row r="243" spans="1:4" ht="15.5" hidden="1" x14ac:dyDescent="0.35">
      <c r="A243" s="439">
        <v>290000</v>
      </c>
      <c r="B243" s="903">
        <v>0.53</v>
      </c>
      <c r="C243" s="440">
        <v>0.54</v>
      </c>
      <c r="D243" s="569"/>
    </row>
    <row r="244" spans="1:4" ht="15.5" hidden="1" x14ac:dyDescent="0.35">
      <c r="A244" s="439">
        <v>295000</v>
      </c>
      <c r="B244" s="903">
        <v>0.53</v>
      </c>
      <c r="C244" s="440">
        <v>0.54</v>
      </c>
      <c r="D244" s="569"/>
    </row>
    <row r="245" spans="1:4" ht="15.5" hidden="1" x14ac:dyDescent="0.35">
      <c r="A245" s="439">
        <v>300000</v>
      </c>
      <c r="B245" s="903">
        <v>0.52</v>
      </c>
      <c r="C245" s="440">
        <v>0.54</v>
      </c>
      <c r="D245" s="569"/>
    </row>
    <row r="246" spans="1:4" ht="15.5" hidden="1" x14ac:dyDescent="0.35">
      <c r="A246" s="439">
        <v>305000</v>
      </c>
      <c r="B246" s="903">
        <v>0.52</v>
      </c>
      <c r="C246" s="440">
        <v>0.54</v>
      </c>
      <c r="D246" s="569"/>
    </row>
    <row r="247" spans="1:4" ht="15.5" hidden="1" x14ac:dyDescent="0.35">
      <c r="A247" s="439">
        <v>310000</v>
      </c>
      <c r="B247" s="903">
        <v>0.52</v>
      </c>
      <c r="C247" s="440">
        <v>0.53</v>
      </c>
      <c r="D247" s="569"/>
    </row>
    <row r="248" spans="1:4" ht="15.5" hidden="1" x14ac:dyDescent="0.35">
      <c r="A248" s="439">
        <v>315000</v>
      </c>
      <c r="B248" s="903">
        <v>0.52</v>
      </c>
      <c r="C248" s="440">
        <v>0.53</v>
      </c>
      <c r="D248" s="569"/>
    </row>
    <row r="249" spans="1:4" ht="15.5" hidden="1" x14ac:dyDescent="0.35">
      <c r="A249" s="439">
        <v>320000</v>
      </c>
      <c r="B249" s="903">
        <v>0.52</v>
      </c>
      <c r="C249" s="440">
        <v>0.53</v>
      </c>
      <c r="D249" s="569"/>
    </row>
    <row r="250" spans="1:4" ht="15.5" hidden="1" x14ac:dyDescent="0.35">
      <c r="A250" s="439">
        <v>325000</v>
      </c>
      <c r="B250" s="903">
        <v>0.52</v>
      </c>
      <c r="C250" s="440">
        <v>0.53</v>
      </c>
      <c r="D250" s="569"/>
    </row>
    <row r="251" spans="1:4" ht="15.5" hidden="1" x14ac:dyDescent="0.35">
      <c r="A251" s="439">
        <v>330000</v>
      </c>
      <c r="B251" s="903">
        <v>0.52</v>
      </c>
      <c r="C251" s="440">
        <v>0.53</v>
      </c>
      <c r="D251" s="569"/>
    </row>
    <row r="252" spans="1:4" ht="15.5" hidden="1" x14ac:dyDescent="0.35">
      <c r="A252" s="439">
        <v>335000</v>
      </c>
      <c r="B252" s="903">
        <v>0.52</v>
      </c>
      <c r="C252" s="440">
        <v>0.53</v>
      </c>
      <c r="D252" s="569"/>
    </row>
    <row r="253" spans="1:4" ht="15.5" hidden="1" x14ac:dyDescent="0.35">
      <c r="A253" s="439">
        <v>340000</v>
      </c>
      <c r="B253" s="903">
        <v>0.52</v>
      </c>
      <c r="C253" s="440">
        <v>0.53</v>
      </c>
      <c r="D253" s="569"/>
    </row>
    <row r="254" spans="1:4" ht="15.5" hidden="1" x14ac:dyDescent="0.35">
      <c r="A254" s="439">
        <v>345000</v>
      </c>
      <c r="B254" s="903">
        <v>0.52</v>
      </c>
      <c r="C254" s="440">
        <v>0.53</v>
      </c>
      <c r="D254" s="569"/>
    </row>
    <row r="255" spans="1:4" ht="15.5" hidden="1" x14ac:dyDescent="0.35">
      <c r="A255" s="439">
        <v>350000</v>
      </c>
      <c r="B255" s="903">
        <v>0.52</v>
      </c>
      <c r="C255" s="440">
        <v>0.53</v>
      </c>
      <c r="D255" s="569"/>
    </row>
    <row r="256" spans="1:4" ht="15.5" hidden="1" x14ac:dyDescent="0.35">
      <c r="A256" s="439">
        <v>355000</v>
      </c>
      <c r="B256" s="903">
        <v>0.52</v>
      </c>
      <c r="C256" s="440">
        <v>0.53</v>
      </c>
      <c r="D256" s="569"/>
    </row>
    <row r="257" spans="1:4" ht="15.5" hidden="1" x14ac:dyDescent="0.35">
      <c r="A257" s="439">
        <v>360000</v>
      </c>
      <c r="B257" s="903">
        <v>0.52</v>
      </c>
      <c r="C257" s="440">
        <v>0.53</v>
      </c>
      <c r="D257" s="569"/>
    </row>
    <row r="258" spans="1:4" ht="15.5" hidden="1" x14ac:dyDescent="0.35">
      <c r="A258" s="439">
        <v>365000</v>
      </c>
      <c r="B258" s="903">
        <v>0.52</v>
      </c>
      <c r="C258" s="440">
        <v>0.53</v>
      </c>
      <c r="D258" s="569"/>
    </row>
    <row r="259" spans="1:4" ht="15.5" hidden="1" x14ac:dyDescent="0.35">
      <c r="A259" s="439">
        <v>370000</v>
      </c>
      <c r="B259" s="903">
        <v>0.52</v>
      </c>
      <c r="C259" s="440">
        <v>0.53</v>
      </c>
      <c r="D259" s="569"/>
    </row>
    <row r="260" spans="1:4" ht="15.5" hidden="1" x14ac:dyDescent="0.35">
      <c r="A260" s="439">
        <v>375000</v>
      </c>
      <c r="B260" s="903">
        <v>0.52</v>
      </c>
      <c r="C260" s="440">
        <v>0.53</v>
      </c>
      <c r="D260" s="569"/>
    </row>
    <row r="261" spans="1:4" ht="15.5" hidden="1" x14ac:dyDescent="0.35">
      <c r="A261" s="439">
        <v>380000</v>
      </c>
      <c r="B261" s="903">
        <v>0.52</v>
      </c>
      <c r="C261" s="440">
        <v>0.52</v>
      </c>
      <c r="D261" s="569"/>
    </row>
    <row r="262" spans="1:4" ht="15.5" hidden="1" x14ac:dyDescent="0.35">
      <c r="A262" s="439">
        <v>385000</v>
      </c>
      <c r="B262" s="903">
        <v>0.52</v>
      </c>
      <c r="C262" s="440">
        <v>0.52</v>
      </c>
      <c r="D262" s="569"/>
    </row>
    <row r="263" spans="1:4" ht="15.5" hidden="1" x14ac:dyDescent="0.35">
      <c r="A263" s="439">
        <v>390000</v>
      </c>
      <c r="B263" s="903">
        <v>0.51</v>
      </c>
      <c r="C263" s="440">
        <v>0.52</v>
      </c>
      <c r="D263" s="569"/>
    </row>
    <row r="264" spans="1:4" ht="15.5" hidden="1" x14ac:dyDescent="0.35">
      <c r="A264" s="439">
        <v>395000</v>
      </c>
      <c r="B264" s="903">
        <v>0.51</v>
      </c>
      <c r="C264" s="440">
        <v>0.52</v>
      </c>
      <c r="D264" s="569"/>
    </row>
    <row r="265" spans="1:4" ht="15.5" hidden="1" x14ac:dyDescent="0.35">
      <c r="A265" s="439">
        <v>400000</v>
      </c>
      <c r="B265" s="903">
        <v>0.51</v>
      </c>
      <c r="C265" s="440">
        <v>0.52</v>
      </c>
      <c r="D265" s="569"/>
    </row>
    <row r="266" spans="1:4" ht="15.5" hidden="1" x14ac:dyDescent="0.35">
      <c r="A266" s="439">
        <v>405000</v>
      </c>
      <c r="B266" s="903">
        <v>0.51</v>
      </c>
      <c r="C266" s="440">
        <v>0.52</v>
      </c>
      <c r="D266" s="569"/>
    </row>
    <row r="267" spans="1:4" ht="15.5" hidden="1" x14ac:dyDescent="0.35">
      <c r="A267" s="439">
        <v>410000</v>
      </c>
      <c r="B267" s="903">
        <v>0.51</v>
      </c>
      <c r="C267" s="440">
        <v>0.52</v>
      </c>
      <c r="D267" s="569"/>
    </row>
    <row r="268" spans="1:4" ht="15.5" hidden="1" x14ac:dyDescent="0.35">
      <c r="A268" s="439">
        <v>415000</v>
      </c>
      <c r="B268" s="903">
        <v>0.51</v>
      </c>
      <c r="C268" s="440">
        <v>0.52</v>
      </c>
      <c r="D268" s="569"/>
    </row>
    <row r="269" spans="1:4" ht="15.5" hidden="1" x14ac:dyDescent="0.35">
      <c r="A269" s="439">
        <v>420000</v>
      </c>
      <c r="B269" s="903">
        <v>0.51</v>
      </c>
      <c r="C269" s="440">
        <v>0.52</v>
      </c>
      <c r="D269" s="569"/>
    </row>
    <row r="270" spans="1:4" ht="15.5" hidden="1" x14ac:dyDescent="0.35">
      <c r="A270" s="439">
        <v>425000</v>
      </c>
      <c r="B270" s="903">
        <v>0.51</v>
      </c>
      <c r="C270" s="440">
        <v>0.52</v>
      </c>
      <c r="D270" s="569"/>
    </row>
    <row r="271" spans="1:4" ht="15.5" hidden="1" x14ac:dyDescent="0.35">
      <c r="A271" s="439">
        <v>430000</v>
      </c>
      <c r="B271" s="903">
        <v>0.51</v>
      </c>
      <c r="C271" s="440">
        <v>0.52</v>
      </c>
      <c r="D271" s="569"/>
    </row>
    <row r="272" spans="1:4" ht="15.5" hidden="1" x14ac:dyDescent="0.35">
      <c r="A272" s="439">
        <v>435000</v>
      </c>
      <c r="B272" s="903">
        <v>0.51</v>
      </c>
      <c r="C272" s="440">
        <v>0.52</v>
      </c>
      <c r="D272" s="569"/>
    </row>
    <row r="273" spans="1:4" ht="15.5" hidden="1" x14ac:dyDescent="0.35">
      <c r="A273" s="439">
        <v>440000</v>
      </c>
      <c r="B273" s="903">
        <v>0.51</v>
      </c>
      <c r="C273" s="440">
        <v>0.52</v>
      </c>
      <c r="D273" s="569"/>
    </row>
    <row r="274" spans="1:4" ht="15.5" hidden="1" x14ac:dyDescent="0.35">
      <c r="A274" s="439">
        <v>445000</v>
      </c>
      <c r="B274" s="903">
        <v>0.51</v>
      </c>
      <c r="C274" s="440">
        <v>0.52</v>
      </c>
      <c r="D274" s="569"/>
    </row>
    <row r="275" spans="1:4" ht="15.5" hidden="1" x14ac:dyDescent="0.35">
      <c r="A275" s="439">
        <v>450000</v>
      </c>
      <c r="B275" s="903">
        <v>0.51</v>
      </c>
      <c r="C275" s="440">
        <v>0.52</v>
      </c>
      <c r="D275" s="569"/>
    </row>
    <row r="276" spans="1:4" ht="15.5" hidden="1" x14ac:dyDescent="0.35">
      <c r="A276" s="439">
        <v>455000</v>
      </c>
      <c r="B276" s="903">
        <v>0.51</v>
      </c>
      <c r="C276" s="440">
        <v>0.52</v>
      </c>
      <c r="D276" s="569"/>
    </row>
    <row r="277" spans="1:4" ht="15.5" hidden="1" x14ac:dyDescent="0.35">
      <c r="A277" s="439">
        <v>460000</v>
      </c>
      <c r="B277" s="903">
        <v>0.51</v>
      </c>
      <c r="C277" s="440">
        <v>0.52</v>
      </c>
      <c r="D277" s="569"/>
    </row>
    <row r="278" spans="1:4" ht="15.5" hidden="1" x14ac:dyDescent="0.35">
      <c r="A278" s="439">
        <v>465000</v>
      </c>
      <c r="B278" s="903">
        <v>0.51</v>
      </c>
      <c r="C278" s="440">
        <v>0.52</v>
      </c>
      <c r="D278" s="569"/>
    </row>
    <row r="279" spans="1:4" ht="15.5" hidden="1" x14ac:dyDescent="0.35">
      <c r="A279" s="439">
        <v>470000</v>
      </c>
      <c r="B279" s="903">
        <v>0.51</v>
      </c>
      <c r="C279" s="440">
        <v>0.52</v>
      </c>
      <c r="D279" s="569"/>
    </row>
    <row r="280" spans="1:4" ht="15.5" hidden="1" x14ac:dyDescent="0.35">
      <c r="A280" s="439">
        <v>475000</v>
      </c>
      <c r="B280" s="903">
        <v>0.51</v>
      </c>
      <c r="C280" s="440">
        <v>0.52</v>
      </c>
      <c r="D280" s="569"/>
    </row>
    <row r="281" spans="1:4" ht="15.5" hidden="1" x14ac:dyDescent="0.35">
      <c r="A281" s="439">
        <v>480000</v>
      </c>
      <c r="B281" s="903">
        <v>0.51</v>
      </c>
      <c r="C281" s="440">
        <v>0.52</v>
      </c>
      <c r="D281" s="569"/>
    </row>
    <row r="282" spans="1:4" ht="15.5" hidden="1" x14ac:dyDescent="0.35">
      <c r="A282" s="439">
        <v>485000</v>
      </c>
      <c r="B282" s="903">
        <v>0.51</v>
      </c>
      <c r="C282" s="440">
        <v>0.51</v>
      </c>
      <c r="D282" s="569"/>
    </row>
    <row r="283" spans="1:4" ht="15.5" hidden="1" x14ac:dyDescent="0.35">
      <c r="A283" s="439">
        <v>490000</v>
      </c>
      <c r="B283" s="903">
        <v>0.51</v>
      </c>
      <c r="C283" s="440">
        <v>0.51</v>
      </c>
      <c r="D283" s="569"/>
    </row>
    <row r="284" spans="1:4" ht="15.5" hidden="1" x14ac:dyDescent="0.35">
      <c r="A284" s="439">
        <v>495000</v>
      </c>
      <c r="B284" s="903">
        <v>0.51</v>
      </c>
      <c r="C284" s="440">
        <v>0.51</v>
      </c>
      <c r="D284" s="569"/>
    </row>
    <row r="285" spans="1:4" ht="15.5" hidden="1" x14ac:dyDescent="0.35">
      <c r="A285" s="439">
        <v>500000</v>
      </c>
      <c r="B285" s="903">
        <v>0.51</v>
      </c>
      <c r="C285" s="440">
        <v>0.51</v>
      </c>
      <c r="D285" s="569"/>
    </row>
    <row r="286" spans="1:4" ht="15.5" hidden="1" x14ac:dyDescent="0.35">
      <c r="A286" s="439">
        <v>505000</v>
      </c>
      <c r="B286" s="903">
        <v>0.51</v>
      </c>
      <c r="C286" s="440">
        <v>0.51</v>
      </c>
      <c r="D286" s="569"/>
    </row>
    <row r="287" spans="1:4" ht="15.5" hidden="1" x14ac:dyDescent="0.35">
      <c r="A287" s="439">
        <v>510000</v>
      </c>
      <c r="B287" s="903">
        <v>0.51</v>
      </c>
      <c r="C287" s="440">
        <v>0.51</v>
      </c>
      <c r="D287" s="569"/>
    </row>
    <row r="288" spans="1:4" ht="15.5" hidden="1" x14ac:dyDescent="0.35">
      <c r="A288" s="439">
        <v>515000</v>
      </c>
      <c r="B288" s="903">
        <v>0.51</v>
      </c>
      <c r="C288" s="440">
        <v>0.51</v>
      </c>
      <c r="D288" s="569"/>
    </row>
    <row r="289" spans="1:4" ht="15.5" hidden="1" x14ac:dyDescent="0.35">
      <c r="A289" s="439">
        <v>520000</v>
      </c>
      <c r="B289" s="903">
        <v>0.51</v>
      </c>
      <c r="C289" s="440">
        <v>0.51</v>
      </c>
      <c r="D289" s="569"/>
    </row>
    <row r="290" spans="1:4" ht="15.5" hidden="1" x14ac:dyDescent="0.35">
      <c r="A290" s="439">
        <v>525000</v>
      </c>
      <c r="B290" s="903">
        <v>0.51</v>
      </c>
      <c r="C290" s="440">
        <v>0.51</v>
      </c>
      <c r="D290" s="569"/>
    </row>
    <row r="291" spans="1:4" ht="15.5" hidden="1" x14ac:dyDescent="0.35">
      <c r="A291" s="439">
        <v>530000</v>
      </c>
      <c r="B291" s="903">
        <v>0.51</v>
      </c>
      <c r="C291" s="440">
        <v>0.51</v>
      </c>
      <c r="D291" s="569"/>
    </row>
    <row r="292" spans="1:4" ht="15.5" hidden="1" x14ac:dyDescent="0.35">
      <c r="A292" s="439">
        <v>535000</v>
      </c>
      <c r="B292" s="903">
        <v>0.51</v>
      </c>
      <c r="C292" s="440">
        <v>0.51</v>
      </c>
      <c r="D292" s="569"/>
    </row>
    <row r="293" spans="1:4" ht="15.5" hidden="1" x14ac:dyDescent="0.35">
      <c r="A293" s="439">
        <v>540000</v>
      </c>
      <c r="B293" s="903">
        <v>0.5</v>
      </c>
      <c r="C293" s="440">
        <v>0.51</v>
      </c>
      <c r="D293" s="569"/>
    </row>
    <row r="294" spans="1:4" ht="15.5" hidden="1" x14ac:dyDescent="0.35">
      <c r="A294" s="439">
        <v>545000</v>
      </c>
      <c r="B294" s="903">
        <v>0.5</v>
      </c>
      <c r="C294" s="440">
        <v>0.51</v>
      </c>
      <c r="D294" s="569"/>
    </row>
    <row r="295" spans="1:4" ht="15.5" hidden="1" x14ac:dyDescent="0.35">
      <c r="A295" s="439">
        <v>550000</v>
      </c>
      <c r="B295" s="903">
        <v>0.5</v>
      </c>
      <c r="C295" s="440">
        <v>0.51</v>
      </c>
      <c r="D295" s="569"/>
    </row>
    <row r="296" spans="1:4" ht="15.5" hidden="1" x14ac:dyDescent="0.35">
      <c r="A296" s="439">
        <v>555000</v>
      </c>
      <c r="B296" s="903">
        <v>0.5</v>
      </c>
      <c r="C296" s="440">
        <v>0.51</v>
      </c>
      <c r="D296" s="569"/>
    </row>
    <row r="297" spans="1:4" ht="15.5" hidden="1" x14ac:dyDescent="0.35">
      <c r="A297" s="439">
        <v>560000</v>
      </c>
      <c r="B297" s="903">
        <v>0.5</v>
      </c>
      <c r="C297" s="440">
        <v>0.51</v>
      </c>
      <c r="D297" s="569"/>
    </row>
    <row r="298" spans="1:4" ht="15.5" hidden="1" x14ac:dyDescent="0.35">
      <c r="A298" s="439">
        <v>565000</v>
      </c>
      <c r="B298" s="903">
        <v>0.5</v>
      </c>
      <c r="C298" s="440">
        <v>0.51</v>
      </c>
      <c r="D298" s="569"/>
    </row>
    <row r="299" spans="1:4" ht="15.5" hidden="1" x14ac:dyDescent="0.35">
      <c r="A299" s="439">
        <v>570000</v>
      </c>
      <c r="B299" s="903">
        <v>0.5</v>
      </c>
      <c r="C299" s="440">
        <v>0.51</v>
      </c>
      <c r="D299" s="569"/>
    </row>
    <row r="300" spans="1:4" ht="15.5" hidden="1" x14ac:dyDescent="0.35">
      <c r="A300" s="439">
        <v>575000</v>
      </c>
      <c r="B300" s="903">
        <v>0.5</v>
      </c>
      <c r="C300" s="440">
        <v>0.51</v>
      </c>
      <c r="D300" s="569"/>
    </row>
    <row r="301" spans="1:4" ht="15.5" hidden="1" x14ac:dyDescent="0.35">
      <c r="A301" s="439">
        <v>580000</v>
      </c>
      <c r="B301" s="903">
        <v>0.5</v>
      </c>
      <c r="C301" s="440">
        <v>0.51</v>
      </c>
      <c r="D301" s="569"/>
    </row>
    <row r="302" spans="1:4" ht="15.5" hidden="1" x14ac:dyDescent="0.35">
      <c r="A302" s="439">
        <v>585000</v>
      </c>
      <c r="B302" s="903">
        <v>0.5</v>
      </c>
      <c r="C302" s="440">
        <v>0.51</v>
      </c>
      <c r="D302" s="569"/>
    </row>
    <row r="303" spans="1:4" ht="15.5" hidden="1" x14ac:dyDescent="0.35">
      <c r="A303" s="439">
        <v>590000</v>
      </c>
      <c r="B303" s="903">
        <v>0.5</v>
      </c>
      <c r="C303" s="440">
        <v>0.51</v>
      </c>
      <c r="D303" s="569"/>
    </row>
    <row r="304" spans="1:4" ht="15.5" hidden="1" x14ac:dyDescent="0.35">
      <c r="A304" s="439">
        <v>595000</v>
      </c>
      <c r="B304" s="903">
        <v>0.5</v>
      </c>
      <c r="C304" s="440">
        <v>0.51</v>
      </c>
      <c r="D304" s="569"/>
    </row>
    <row r="305" spans="1:4" ht="15.5" hidden="1" x14ac:dyDescent="0.35">
      <c r="A305" s="439">
        <v>600000</v>
      </c>
      <c r="B305" s="903">
        <v>0.5</v>
      </c>
      <c r="C305" s="440">
        <v>0.51</v>
      </c>
      <c r="D305" s="569"/>
    </row>
    <row r="306" spans="1:4" ht="15.5" hidden="1" x14ac:dyDescent="0.35">
      <c r="A306" s="439">
        <v>605000</v>
      </c>
      <c r="B306" s="903">
        <v>0.5</v>
      </c>
      <c r="C306" s="440">
        <v>0.51</v>
      </c>
      <c r="D306" s="569"/>
    </row>
    <row r="307" spans="1:4" ht="15.5" hidden="1" x14ac:dyDescent="0.35">
      <c r="A307" s="439">
        <v>610000</v>
      </c>
      <c r="B307" s="903">
        <v>0.5</v>
      </c>
      <c r="C307" s="440">
        <v>0.51</v>
      </c>
      <c r="D307" s="569"/>
    </row>
    <row r="308" spans="1:4" ht="15.5" hidden="1" x14ac:dyDescent="0.35">
      <c r="A308" s="439">
        <v>615000</v>
      </c>
      <c r="B308" s="903">
        <v>0.5</v>
      </c>
      <c r="C308" s="440">
        <v>0.51</v>
      </c>
      <c r="D308" s="569"/>
    </row>
    <row r="309" spans="1:4" ht="15.5" hidden="1" x14ac:dyDescent="0.35">
      <c r="A309" s="439">
        <v>620000</v>
      </c>
      <c r="B309" s="903">
        <v>0.5</v>
      </c>
      <c r="C309" s="440">
        <v>0.51</v>
      </c>
      <c r="D309" s="569"/>
    </row>
    <row r="310" spans="1:4" ht="15.5" hidden="1" x14ac:dyDescent="0.35">
      <c r="A310" s="439">
        <v>625000</v>
      </c>
      <c r="B310" s="903">
        <v>0.5</v>
      </c>
      <c r="C310" s="440">
        <v>0.51</v>
      </c>
      <c r="D310" s="569"/>
    </row>
    <row r="311" spans="1:4" ht="15.5" hidden="1" x14ac:dyDescent="0.35">
      <c r="A311" s="439">
        <v>630000</v>
      </c>
      <c r="B311" s="903">
        <v>0.5</v>
      </c>
      <c r="C311" s="440">
        <v>0.51</v>
      </c>
      <c r="D311" s="569"/>
    </row>
    <row r="312" spans="1:4" ht="15.5" hidden="1" x14ac:dyDescent="0.35">
      <c r="A312" s="439">
        <v>635000</v>
      </c>
      <c r="B312" s="903">
        <v>0.5</v>
      </c>
      <c r="C312" s="440">
        <v>0.51</v>
      </c>
      <c r="D312" s="569"/>
    </row>
    <row r="313" spans="1:4" ht="15.5" hidden="1" x14ac:dyDescent="0.35">
      <c r="A313" s="439">
        <v>640000</v>
      </c>
      <c r="B313" s="903">
        <v>0.5</v>
      </c>
      <c r="C313" s="440">
        <v>0.51</v>
      </c>
      <c r="D313" s="569"/>
    </row>
    <row r="314" spans="1:4" ht="15.5" hidden="1" x14ac:dyDescent="0.35">
      <c r="A314" s="439">
        <v>645000</v>
      </c>
      <c r="B314" s="903">
        <v>0.5</v>
      </c>
      <c r="C314" s="440">
        <v>0.51</v>
      </c>
      <c r="D314" s="569"/>
    </row>
    <row r="315" spans="1:4" ht="15.5" hidden="1" x14ac:dyDescent="0.35">
      <c r="A315" s="439">
        <v>650000</v>
      </c>
      <c r="B315" s="903">
        <v>0.5</v>
      </c>
      <c r="C315" s="440">
        <v>0.51</v>
      </c>
      <c r="D315" s="569"/>
    </row>
    <row r="316" spans="1:4" ht="15.5" hidden="1" x14ac:dyDescent="0.35">
      <c r="A316" s="439">
        <v>655000</v>
      </c>
      <c r="B316" s="903">
        <v>0.5</v>
      </c>
      <c r="C316" s="440">
        <v>0.51</v>
      </c>
      <c r="D316" s="569"/>
    </row>
    <row r="317" spans="1:4" ht="15.5" hidden="1" x14ac:dyDescent="0.35">
      <c r="A317" s="439">
        <v>660000</v>
      </c>
      <c r="B317" s="903">
        <v>0.5</v>
      </c>
      <c r="C317" s="440">
        <v>0.51</v>
      </c>
      <c r="D317" s="569"/>
    </row>
    <row r="318" spans="1:4" ht="15.5" hidden="1" x14ac:dyDescent="0.35">
      <c r="A318" s="439">
        <v>665000</v>
      </c>
      <c r="B318" s="903">
        <v>0.5</v>
      </c>
      <c r="C318" s="440">
        <v>0.51</v>
      </c>
      <c r="D318" s="569"/>
    </row>
    <row r="319" spans="1:4" ht="15.5" hidden="1" x14ac:dyDescent="0.35">
      <c r="A319" s="439">
        <v>670000</v>
      </c>
      <c r="B319" s="903">
        <v>0.5</v>
      </c>
      <c r="C319" s="440">
        <v>0.51</v>
      </c>
      <c r="D319" s="569"/>
    </row>
    <row r="320" spans="1:4" ht="15.5" hidden="1" x14ac:dyDescent="0.35">
      <c r="A320" s="439">
        <v>675000</v>
      </c>
      <c r="B320" s="903">
        <v>0.5</v>
      </c>
      <c r="C320" s="440">
        <v>0.51</v>
      </c>
      <c r="D320" s="569"/>
    </row>
    <row r="321" spans="1:13" ht="15.5" hidden="1" x14ac:dyDescent="0.35">
      <c r="A321" s="439">
        <v>680000</v>
      </c>
      <c r="B321" s="903">
        <v>0.5</v>
      </c>
      <c r="C321" s="440">
        <v>0.5</v>
      </c>
      <c r="D321" s="569"/>
    </row>
    <row r="322" spans="1:13" ht="15.5" hidden="1" x14ac:dyDescent="0.35">
      <c r="A322" s="439">
        <v>685000</v>
      </c>
      <c r="B322" s="903">
        <v>0.5</v>
      </c>
      <c r="C322" s="440">
        <v>0.5</v>
      </c>
      <c r="D322" s="569"/>
    </row>
    <row r="323" spans="1:13" ht="15.5" hidden="1" x14ac:dyDescent="0.35">
      <c r="A323" s="439">
        <v>690000</v>
      </c>
      <c r="B323" s="903">
        <v>0.5</v>
      </c>
      <c r="C323" s="440">
        <v>0.5</v>
      </c>
      <c r="D323" s="569"/>
    </row>
    <row r="324" spans="1:13" ht="15.5" hidden="1" x14ac:dyDescent="0.35">
      <c r="A324" s="439">
        <v>695000</v>
      </c>
      <c r="B324" s="903">
        <v>0.5</v>
      </c>
      <c r="C324" s="440">
        <v>0.5</v>
      </c>
      <c r="D324" s="569"/>
    </row>
    <row r="325" spans="1:13" ht="15.5" hidden="1" x14ac:dyDescent="0.35">
      <c r="A325" s="439">
        <v>700000</v>
      </c>
      <c r="B325" s="903">
        <v>0.5</v>
      </c>
      <c r="C325" s="440">
        <v>0.5</v>
      </c>
      <c r="D325" s="569"/>
    </row>
    <row r="326" spans="1:13" ht="15.5" hidden="1" x14ac:dyDescent="0.35">
      <c r="A326" s="439">
        <v>705000</v>
      </c>
      <c r="B326" s="903">
        <v>0.5</v>
      </c>
      <c r="C326" s="440">
        <v>0.5</v>
      </c>
      <c r="D326" s="569"/>
      <c r="M326" s="791"/>
    </row>
    <row r="327" spans="1:13" ht="15.5" hidden="1" x14ac:dyDescent="0.35">
      <c r="A327" s="439">
        <v>710000</v>
      </c>
      <c r="B327" s="903">
        <v>0.5</v>
      </c>
      <c r="C327" s="440">
        <v>0.5</v>
      </c>
      <c r="D327" s="569"/>
    </row>
    <row r="328" spans="1:13" ht="15.5" hidden="1" x14ac:dyDescent="0.35">
      <c r="A328" s="439">
        <v>715000</v>
      </c>
      <c r="B328" s="903">
        <v>0.5</v>
      </c>
      <c r="C328" s="440">
        <v>0.5</v>
      </c>
      <c r="D328" s="569"/>
    </row>
    <row r="329" spans="1:13" ht="15.5" hidden="1" x14ac:dyDescent="0.35">
      <c r="A329" s="439">
        <v>720000</v>
      </c>
      <c r="B329" s="903">
        <v>0.5</v>
      </c>
      <c r="C329" s="440">
        <v>0.5</v>
      </c>
      <c r="D329" s="569"/>
    </row>
    <row r="330" spans="1:13" ht="15.5" hidden="1" x14ac:dyDescent="0.35">
      <c r="A330" s="439">
        <v>725000</v>
      </c>
      <c r="B330" s="903">
        <v>0.5</v>
      </c>
      <c r="C330" s="440">
        <v>0.5</v>
      </c>
      <c r="D330" s="569"/>
    </row>
    <row r="331" spans="1:13" ht="15.5" hidden="1" x14ac:dyDescent="0.35">
      <c r="A331" s="439">
        <v>730000</v>
      </c>
      <c r="B331" s="903">
        <v>0.5</v>
      </c>
      <c r="C331" s="440">
        <v>0.5</v>
      </c>
      <c r="D331" s="569"/>
    </row>
    <row r="332" spans="1:13" ht="15.5" hidden="1" x14ac:dyDescent="0.35">
      <c r="A332" s="439">
        <v>735000</v>
      </c>
      <c r="B332" s="903">
        <v>0.5</v>
      </c>
      <c r="C332" s="440">
        <v>0.5</v>
      </c>
      <c r="D332" s="569"/>
    </row>
    <row r="333" spans="1:13" ht="15.5" hidden="1" x14ac:dyDescent="0.35">
      <c r="A333" s="439">
        <v>740000</v>
      </c>
      <c r="B333" s="903">
        <v>0.5</v>
      </c>
      <c r="C333" s="440">
        <v>0.5</v>
      </c>
      <c r="D333" s="569"/>
    </row>
    <row r="334" spans="1:13" ht="15.5" hidden="1" x14ac:dyDescent="0.35">
      <c r="A334" s="439">
        <v>745000</v>
      </c>
      <c r="B334" s="903">
        <v>0.5</v>
      </c>
      <c r="C334" s="440">
        <v>0.5</v>
      </c>
      <c r="D334" s="569"/>
    </row>
    <row r="335" spans="1:13" ht="15.5" hidden="1" x14ac:dyDescent="0.35">
      <c r="A335" s="439">
        <v>750000</v>
      </c>
      <c r="B335" s="903">
        <v>0.5</v>
      </c>
      <c r="C335" s="440">
        <v>0.5</v>
      </c>
      <c r="D335" s="569"/>
    </row>
    <row r="336" spans="1:13" ht="15.5" hidden="1" x14ac:dyDescent="0.35">
      <c r="A336" s="439">
        <v>755000</v>
      </c>
      <c r="B336" s="903">
        <v>0.5</v>
      </c>
      <c r="C336" s="440">
        <v>0.5</v>
      </c>
      <c r="D336" s="569"/>
    </row>
    <row r="337" spans="1:4" ht="15.5" hidden="1" x14ac:dyDescent="0.35">
      <c r="A337" s="439">
        <v>760000</v>
      </c>
      <c r="B337" s="903">
        <v>0.5</v>
      </c>
      <c r="C337" s="440">
        <v>0.5</v>
      </c>
      <c r="D337" s="569"/>
    </row>
    <row r="338" spans="1:4" ht="15.5" hidden="1" x14ac:dyDescent="0.35">
      <c r="A338" s="439">
        <v>765000</v>
      </c>
      <c r="B338" s="903">
        <v>0.5</v>
      </c>
      <c r="C338" s="440">
        <v>0.5</v>
      </c>
      <c r="D338" s="569"/>
    </row>
    <row r="339" spans="1:4" ht="15.5" hidden="1" x14ac:dyDescent="0.35">
      <c r="A339" s="439">
        <v>770000</v>
      </c>
      <c r="B339" s="903">
        <v>0.5</v>
      </c>
      <c r="C339" s="440">
        <v>0.5</v>
      </c>
      <c r="D339" s="569"/>
    </row>
    <row r="340" spans="1:4" ht="15.5" hidden="1" x14ac:dyDescent="0.35">
      <c r="A340" s="439">
        <v>775000</v>
      </c>
      <c r="B340" s="903">
        <v>0.5</v>
      </c>
      <c r="C340" s="440">
        <v>0.5</v>
      </c>
      <c r="D340" s="569"/>
    </row>
    <row r="341" spans="1:4" ht="15.5" hidden="1" x14ac:dyDescent="0.35">
      <c r="A341" s="439">
        <v>780000</v>
      </c>
      <c r="B341" s="903">
        <v>0.5</v>
      </c>
      <c r="C341" s="440">
        <v>0.5</v>
      </c>
      <c r="D341" s="569"/>
    </row>
    <row r="342" spans="1:4" ht="15.5" hidden="1" x14ac:dyDescent="0.35">
      <c r="A342" s="439">
        <v>785000</v>
      </c>
      <c r="B342" s="903">
        <v>0.5</v>
      </c>
      <c r="C342" s="440">
        <v>0.5</v>
      </c>
      <c r="D342" s="569"/>
    </row>
    <row r="343" spans="1:4" ht="15.5" hidden="1" x14ac:dyDescent="0.35">
      <c r="A343" s="439">
        <v>790000</v>
      </c>
      <c r="B343" s="903">
        <v>0.5</v>
      </c>
      <c r="C343" s="440">
        <v>0.5</v>
      </c>
      <c r="D343" s="569"/>
    </row>
    <row r="344" spans="1:4" ht="15.5" hidden="1" x14ac:dyDescent="0.35">
      <c r="A344" s="439">
        <v>795000</v>
      </c>
      <c r="B344" s="903">
        <v>0.5</v>
      </c>
      <c r="C344" s="440">
        <v>0.5</v>
      </c>
      <c r="D344" s="569"/>
    </row>
    <row r="345" spans="1:4" ht="15.5" hidden="1" x14ac:dyDescent="0.35">
      <c r="A345" s="439">
        <v>800000</v>
      </c>
      <c r="B345" s="903">
        <v>0.5</v>
      </c>
      <c r="C345" s="440">
        <v>0.5</v>
      </c>
      <c r="D345" s="569"/>
    </row>
    <row r="346" spans="1:4" ht="15.5" hidden="1" x14ac:dyDescent="0.35">
      <c r="A346" s="439">
        <v>805000</v>
      </c>
      <c r="B346" s="903">
        <v>0.5</v>
      </c>
      <c r="C346" s="440">
        <v>0.5</v>
      </c>
      <c r="D346" s="569"/>
    </row>
    <row r="347" spans="1:4" ht="15.5" hidden="1" x14ac:dyDescent="0.35">
      <c r="A347" s="439">
        <v>810000</v>
      </c>
      <c r="B347" s="903">
        <v>0.5</v>
      </c>
      <c r="C347" s="440">
        <v>0.5</v>
      </c>
      <c r="D347" s="569"/>
    </row>
    <row r="348" spans="1:4" ht="15.5" hidden="1" x14ac:dyDescent="0.35">
      <c r="A348" s="439">
        <v>815000</v>
      </c>
      <c r="B348" s="903">
        <v>0.5</v>
      </c>
      <c r="C348" s="440">
        <v>0.5</v>
      </c>
      <c r="D348" s="569"/>
    </row>
    <row r="349" spans="1:4" ht="15.5" hidden="1" x14ac:dyDescent="0.35">
      <c r="A349" s="439">
        <v>820000</v>
      </c>
      <c r="B349" s="903">
        <v>0.5</v>
      </c>
      <c r="C349" s="440">
        <v>0.5</v>
      </c>
      <c r="D349" s="569"/>
    </row>
    <row r="350" spans="1:4" ht="15.5" hidden="1" x14ac:dyDescent="0.35">
      <c r="A350" s="439">
        <v>825000</v>
      </c>
      <c r="B350" s="903">
        <v>0.5</v>
      </c>
      <c r="C350" s="440">
        <v>0.5</v>
      </c>
      <c r="D350" s="569"/>
    </row>
    <row r="351" spans="1:4" ht="15.5" hidden="1" x14ac:dyDescent="0.35">
      <c r="A351" s="439">
        <v>830000</v>
      </c>
      <c r="B351" s="903">
        <v>0.5</v>
      </c>
      <c r="C351" s="440">
        <v>0.5</v>
      </c>
      <c r="D351" s="569"/>
    </row>
    <row r="352" spans="1:4" ht="15.5" hidden="1" x14ac:dyDescent="0.35">
      <c r="A352" s="439">
        <v>835000</v>
      </c>
      <c r="B352" s="903">
        <v>0.5</v>
      </c>
      <c r="C352" s="440">
        <v>0.5</v>
      </c>
      <c r="D352" s="569"/>
    </row>
    <row r="353" spans="1:4" ht="15.5" hidden="1" x14ac:dyDescent="0.35">
      <c r="A353" s="439">
        <v>840000</v>
      </c>
      <c r="B353" s="903">
        <v>0.5</v>
      </c>
      <c r="C353" s="440">
        <v>0.5</v>
      </c>
      <c r="D353" s="569"/>
    </row>
    <row r="354" spans="1:4" ht="15.5" hidden="1" x14ac:dyDescent="0.35">
      <c r="A354" s="439">
        <v>845000</v>
      </c>
      <c r="B354" s="903">
        <v>0.5</v>
      </c>
      <c r="C354" s="440">
        <v>0.5</v>
      </c>
      <c r="D354" s="569"/>
    </row>
    <row r="355" spans="1:4" ht="15.5" hidden="1" x14ac:dyDescent="0.35">
      <c r="A355" s="439">
        <v>850000</v>
      </c>
      <c r="B355" s="903">
        <v>0.5</v>
      </c>
      <c r="C355" s="440">
        <v>0.5</v>
      </c>
      <c r="D355" s="569"/>
    </row>
    <row r="356" spans="1:4" ht="15.5" hidden="1" x14ac:dyDescent="0.35">
      <c r="A356" s="439">
        <v>855000</v>
      </c>
      <c r="B356" s="903">
        <v>0.5</v>
      </c>
      <c r="C356" s="440">
        <v>0.5</v>
      </c>
      <c r="D356" s="569"/>
    </row>
    <row r="357" spans="1:4" ht="15.5" hidden="1" x14ac:dyDescent="0.35">
      <c r="A357" s="439">
        <v>860000</v>
      </c>
      <c r="B357" s="903">
        <v>0.5</v>
      </c>
      <c r="C357" s="440">
        <v>0.5</v>
      </c>
      <c r="D357" s="569"/>
    </row>
    <row r="358" spans="1:4" ht="15.5" hidden="1" x14ac:dyDescent="0.35">
      <c r="A358" s="439">
        <v>865000</v>
      </c>
      <c r="B358" s="903">
        <v>0.5</v>
      </c>
      <c r="C358" s="440">
        <v>0.5</v>
      </c>
      <c r="D358" s="569"/>
    </row>
    <row r="359" spans="1:4" ht="15.5" hidden="1" x14ac:dyDescent="0.35">
      <c r="A359" s="439">
        <v>870000</v>
      </c>
      <c r="B359" s="903">
        <v>0.5</v>
      </c>
      <c r="C359" s="440">
        <v>0.5</v>
      </c>
      <c r="D359" s="569"/>
    </row>
    <row r="360" spans="1:4" ht="15.5" hidden="1" x14ac:dyDescent="0.35">
      <c r="A360" s="439">
        <v>875000</v>
      </c>
      <c r="B360" s="903">
        <v>0.5</v>
      </c>
      <c r="C360" s="440">
        <v>0.5</v>
      </c>
      <c r="D360" s="569"/>
    </row>
    <row r="361" spans="1:4" ht="15.5" hidden="1" x14ac:dyDescent="0.35">
      <c r="A361" s="439">
        <v>880000</v>
      </c>
      <c r="B361" s="903">
        <v>0.5</v>
      </c>
      <c r="C361" s="440">
        <v>0.5</v>
      </c>
      <c r="D361" s="569"/>
    </row>
    <row r="362" spans="1:4" ht="15.5" hidden="1" x14ac:dyDescent="0.35">
      <c r="A362" s="439">
        <v>885000</v>
      </c>
      <c r="B362" s="903">
        <v>0.5</v>
      </c>
      <c r="C362" s="440">
        <v>0.5</v>
      </c>
      <c r="D362" s="569"/>
    </row>
    <row r="363" spans="1:4" ht="15.5" hidden="1" x14ac:dyDescent="0.35">
      <c r="A363" s="439">
        <v>890000</v>
      </c>
      <c r="B363" s="903">
        <v>0.5</v>
      </c>
      <c r="C363" s="440">
        <v>0.5</v>
      </c>
      <c r="D363" s="569"/>
    </row>
    <row r="364" spans="1:4" ht="15.5" hidden="1" x14ac:dyDescent="0.35">
      <c r="A364" s="439">
        <v>895000</v>
      </c>
      <c r="B364" s="903">
        <v>0.5</v>
      </c>
      <c r="C364" s="440">
        <v>0.5</v>
      </c>
      <c r="D364" s="569"/>
    </row>
    <row r="365" spans="1:4" ht="15.5" hidden="1" x14ac:dyDescent="0.35">
      <c r="A365" s="439">
        <v>900000</v>
      </c>
      <c r="B365" s="903">
        <v>0.49</v>
      </c>
      <c r="C365" s="440">
        <v>0.5</v>
      </c>
      <c r="D365" s="569"/>
    </row>
    <row r="366" spans="1:4" ht="15.5" hidden="1" x14ac:dyDescent="0.35">
      <c r="A366" s="439">
        <v>905000</v>
      </c>
      <c r="B366" s="903">
        <v>0.49</v>
      </c>
      <c r="C366" s="440">
        <v>0.5</v>
      </c>
      <c r="D366" s="569"/>
    </row>
    <row r="367" spans="1:4" ht="15.5" hidden="1" x14ac:dyDescent="0.35">
      <c r="A367" s="439">
        <v>910000</v>
      </c>
      <c r="B367" s="903">
        <v>0.49</v>
      </c>
      <c r="C367" s="440">
        <v>0.5</v>
      </c>
      <c r="D367" s="569"/>
    </row>
    <row r="368" spans="1:4" ht="15.5" hidden="1" x14ac:dyDescent="0.35">
      <c r="A368" s="439">
        <v>915000</v>
      </c>
      <c r="B368" s="903">
        <v>0.49</v>
      </c>
      <c r="C368" s="440">
        <v>0.5</v>
      </c>
      <c r="D368" s="569"/>
    </row>
    <row r="369" spans="1:4" ht="15.5" hidden="1" x14ac:dyDescent="0.35">
      <c r="A369" s="439">
        <v>920000</v>
      </c>
      <c r="B369" s="903">
        <v>0.49</v>
      </c>
      <c r="C369" s="440">
        <v>0.5</v>
      </c>
      <c r="D369" s="569"/>
    </row>
    <row r="370" spans="1:4" ht="15.5" hidden="1" x14ac:dyDescent="0.35">
      <c r="A370" s="439">
        <v>925000</v>
      </c>
      <c r="B370" s="903">
        <v>0.49</v>
      </c>
      <c r="C370" s="440">
        <v>0.5</v>
      </c>
      <c r="D370" s="569"/>
    </row>
    <row r="371" spans="1:4" ht="15.5" hidden="1" x14ac:dyDescent="0.35">
      <c r="A371" s="439">
        <v>930000</v>
      </c>
      <c r="B371" s="903">
        <v>0.49</v>
      </c>
      <c r="C371" s="440">
        <v>0.5</v>
      </c>
      <c r="D371" s="569"/>
    </row>
    <row r="372" spans="1:4" ht="15.5" hidden="1" x14ac:dyDescent="0.35">
      <c r="A372" s="439">
        <v>935000</v>
      </c>
      <c r="B372" s="903">
        <v>0.49</v>
      </c>
      <c r="C372" s="440">
        <v>0.5</v>
      </c>
      <c r="D372" s="569"/>
    </row>
    <row r="373" spans="1:4" ht="15.5" hidden="1" x14ac:dyDescent="0.35">
      <c r="A373" s="439">
        <v>940000</v>
      </c>
      <c r="B373" s="903">
        <v>0.49</v>
      </c>
      <c r="C373" s="440">
        <v>0.5</v>
      </c>
      <c r="D373" s="569"/>
    </row>
    <row r="374" spans="1:4" ht="15.5" hidden="1" x14ac:dyDescent="0.35">
      <c r="A374" s="439">
        <v>945000</v>
      </c>
      <c r="B374" s="903">
        <v>0.49</v>
      </c>
      <c r="C374" s="440">
        <v>0.5</v>
      </c>
      <c r="D374" s="569"/>
    </row>
    <row r="375" spans="1:4" ht="15.5" hidden="1" x14ac:dyDescent="0.35">
      <c r="A375" s="439">
        <v>950000</v>
      </c>
      <c r="B375" s="903">
        <v>0.49</v>
      </c>
      <c r="C375" s="440">
        <v>0.5</v>
      </c>
      <c r="D375" s="569"/>
    </row>
    <row r="376" spans="1:4" ht="15.5" hidden="1" x14ac:dyDescent="0.35">
      <c r="A376" s="439">
        <v>955000</v>
      </c>
      <c r="B376" s="903">
        <v>0.49</v>
      </c>
      <c r="C376" s="440">
        <v>0.5</v>
      </c>
      <c r="D376" s="569"/>
    </row>
    <row r="377" spans="1:4" ht="15.5" hidden="1" x14ac:dyDescent="0.35">
      <c r="A377" s="439">
        <v>960000</v>
      </c>
      <c r="B377" s="903">
        <v>0.49</v>
      </c>
      <c r="C377" s="440">
        <v>0.5</v>
      </c>
      <c r="D377" s="569"/>
    </row>
    <row r="378" spans="1:4" ht="15.5" hidden="1" x14ac:dyDescent="0.35">
      <c r="A378" s="439">
        <v>965000</v>
      </c>
      <c r="B378" s="903">
        <v>0.49</v>
      </c>
      <c r="C378" s="440">
        <v>0.5</v>
      </c>
      <c r="D378" s="569"/>
    </row>
    <row r="379" spans="1:4" ht="15.5" hidden="1" x14ac:dyDescent="0.35">
      <c r="A379" s="439">
        <v>970000</v>
      </c>
      <c r="B379" s="903">
        <v>0.49</v>
      </c>
      <c r="C379" s="440">
        <v>0.5</v>
      </c>
      <c r="D379" s="569"/>
    </row>
    <row r="380" spans="1:4" ht="15.5" hidden="1" x14ac:dyDescent="0.35">
      <c r="A380" s="439">
        <v>975000</v>
      </c>
      <c r="B380" s="903">
        <v>0.49</v>
      </c>
      <c r="C380" s="440">
        <v>0.5</v>
      </c>
      <c r="D380" s="569"/>
    </row>
    <row r="381" spans="1:4" ht="15.5" hidden="1" x14ac:dyDescent="0.35">
      <c r="A381" s="439">
        <v>980000</v>
      </c>
      <c r="B381" s="903">
        <v>0.49</v>
      </c>
      <c r="C381" s="440">
        <v>0.5</v>
      </c>
      <c r="D381" s="569"/>
    </row>
    <row r="382" spans="1:4" ht="15.5" hidden="1" x14ac:dyDescent="0.35">
      <c r="A382" s="439">
        <v>985000</v>
      </c>
      <c r="B382" s="903">
        <v>0.49</v>
      </c>
      <c r="C382" s="440">
        <v>0.5</v>
      </c>
      <c r="D382" s="569"/>
    </row>
    <row r="383" spans="1:4" ht="15.5" hidden="1" x14ac:dyDescent="0.35">
      <c r="A383" s="439">
        <v>990000</v>
      </c>
      <c r="B383" s="903">
        <v>0.49</v>
      </c>
      <c r="C383" s="440">
        <v>0.5</v>
      </c>
      <c r="D383" s="569"/>
    </row>
    <row r="384" spans="1:4" ht="15.5" hidden="1" x14ac:dyDescent="0.35">
      <c r="A384" s="439">
        <v>995000</v>
      </c>
      <c r="B384" s="903">
        <v>0.49</v>
      </c>
      <c r="C384" s="440">
        <v>0.5</v>
      </c>
      <c r="D384" s="569"/>
    </row>
    <row r="385" spans="1:4" ht="15.5" hidden="1" x14ac:dyDescent="0.35">
      <c r="A385" s="439">
        <v>1000000</v>
      </c>
      <c r="B385" s="903">
        <v>0.49</v>
      </c>
      <c r="C385" s="440">
        <v>0.5</v>
      </c>
      <c r="D385" s="569"/>
    </row>
    <row r="386" spans="1:4" ht="15.5" hidden="1" x14ac:dyDescent="0.35">
      <c r="A386" s="439">
        <v>1005000</v>
      </c>
      <c r="B386" s="903">
        <v>0.49</v>
      </c>
      <c r="C386" s="440">
        <v>0.5</v>
      </c>
      <c r="D386" s="569"/>
    </row>
    <row r="387" spans="1:4" ht="15.5" hidden="1" x14ac:dyDescent="0.35">
      <c r="A387" s="439">
        <v>1010000</v>
      </c>
      <c r="B387" s="903">
        <v>0.49</v>
      </c>
      <c r="C387" s="440">
        <v>0.5</v>
      </c>
      <c r="D387" s="569"/>
    </row>
    <row r="388" spans="1:4" ht="15.5" hidden="1" x14ac:dyDescent="0.35">
      <c r="A388" s="439">
        <v>1015000</v>
      </c>
      <c r="B388" s="903">
        <v>0.49</v>
      </c>
      <c r="C388" s="440">
        <v>0.5</v>
      </c>
      <c r="D388" s="569"/>
    </row>
    <row r="389" spans="1:4" ht="15.5" hidden="1" x14ac:dyDescent="0.35">
      <c r="A389" s="439">
        <v>1020000</v>
      </c>
      <c r="B389" s="903">
        <v>0.49</v>
      </c>
      <c r="C389" s="440">
        <v>0.5</v>
      </c>
      <c r="D389" s="569"/>
    </row>
    <row r="390" spans="1:4" ht="15.5" hidden="1" x14ac:dyDescent="0.35">
      <c r="A390" s="439">
        <v>1025000</v>
      </c>
      <c r="B390" s="903">
        <v>0.49</v>
      </c>
      <c r="C390" s="440">
        <v>0.5</v>
      </c>
      <c r="D390" s="569"/>
    </row>
    <row r="391" spans="1:4" ht="15.5" hidden="1" x14ac:dyDescent="0.35">
      <c r="A391" s="439">
        <v>1030000</v>
      </c>
      <c r="B391" s="903">
        <v>0.49</v>
      </c>
      <c r="C391" s="440">
        <v>0.5</v>
      </c>
      <c r="D391" s="569"/>
    </row>
    <row r="392" spans="1:4" ht="15.5" hidden="1" x14ac:dyDescent="0.35">
      <c r="A392" s="439">
        <v>1035000</v>
      </c>
      <c r="B392" s="903">
        <v>0.49</v>
      </c>
      <c r="C392" s="440">
        <v>0.5</v>
      </c>
      <c r="D392" s="569"/>
    </row>
    <row r="393" spans="1:4" ht="15.5" hidden="1" x14ac:dyDescent="0.35">
      <c r="A393" s="439">
        <v>1040000</v>
      </c>
      <c r="B393" s="903">
        <v>0.49</v>
      </c>
      <c r="C393" s="440">
        <v>0.5</v>
      </c>
      <c r="D393" s="569"/>
    </row>
    <row r="394" spans="1:4" ht="15.5" hidden="1" x14ac:dyDescent="0.35">
      <c r="A394" s="439">
        <v>1045000</v>
      </c>
      <c r="B394" s="903">
        <v>0.49</v>
      </c>
      <c r="C394" s="440">
        <v>0.5</v>
      </c>
      <c r="D394" s="569"/>
    </row>
    <row r="395" spans="1:4" ht="15.5" hidden="1" x14ac:dyDescent="0.35">
      <c r="A395" s="439">
        <v>1050000</v>
      </c>
      <c r="B395" s="903">
        <v>0.49</v>
      </c>
      <c r="C395" s="440">
        <v>0.5</v>
      </c>
      <c r="D395" s="569"/>
    </row>
    <row r="396" spans="1:4" ht="15.5" hidden="1" x14ac:dyDescent="0.35">
      <c r="A396" s="439">
        <v>1055000</v>
      </c>
      <c r="B396" s="903">
        <v>0.49</v>
      </c>
      <c r="C396" s="440">
        <v>0.5</v>
      </c>
      <c r="D396" s="569"/>
    </row>
    <row r="397" spans="1:4" ht="15.5" hidden="1" x14ac:dyDescent="0.35">
      <c r="A397" s="439">
        <v>1060000</v>
      </c>
      <c r="B397" s="903">
        <v>0.49</v>
      </c>
      <c r="C397" s="440">
        <v>0.5</v>
      </c>
      <c r="D397" s="569"/>
    </row>
    <row r="398" spans="1:4" ht="15.5" hidden="1" x14ac:dyDescent="0.35">
      <c r="A398" s="439">
        <v>1065000</v>
      </c>
      <c r="B398" s="903">
        <v>0.49</v>
      </c>
      <c r="C398" s="440">
        <v>0.5</v>
      </c>
      <c r="D398" s="569"/>
    </row>
    <row r="399" spans="1:4" ht="15.5" hidden="1" x14ac:dyDescent="0.35">
      <c r="A399" s="439">
        <v>1070000</v>
      </c>
      <c r="B399" s="903">
        <v>0.49</v>
      </c>
      <c r="C399" s="440">
        <v>0.5</v>
      </c>
      <c r="D399" s="569"/>
    </row>
    <row r="400" spans="1:4" ht="15.5" hidden="1" x14ac:dyDescent="0.35">
      <c r="A400" s="439">
        <v>1075000</v>
      </c>
      <c r="B400" s="903">
        <v>0.49</v>
      </c>
      <c r="C400" s="440">
        <v>0.5</v>
      </c>
      <c r="D400" s="569"/>
    </row>
    <row r="401" spans="1:4" ht="15.5" hidden="1" x14ac:dyDescent="0.35">
      <c r="A401" s="439">
        <v>1080000</v>
      </c>
      <c r="B401" s="903">
        <v>0.49</v>
      </c>
      <c r="C401" s="440">
        <v>0.5</v>
      </c>
      <c r="D401" s="569"/>
    </row>
    <row r="402" spans="1:4" ht="15.5" hidden="1" x14ac:dyDescent="0.35">
      <c r="A402" s="439">
        <v>1085000</v>
      </c>
      <c r="B402" s="903">
        <v>0.49</v>
      </c>
      <c r="C402" s="440">
        <v>0.5</v>
      </c>
      <c r="D402" s="569"/>
    </row>
    <row r="403" spans="1:4" ht="15.5" hidden="1" x14ac:dyDescent="0.35">
      <c r="A403" s="439">
        <v>1090000</v>
      </c>
      <c r="B403" s="903">
        <v>0.49</v>
      </c>
      <c r="C403" s="440">
        <v>0.5</v>
      </c>
      <c r="D403" s="569"/>
    </row>
    <row r="404" spans="1:4" ht="15.5" hidden="1" x14ac:dyDescent="0.35">
      <c r="A404" s="439">
        <v>1095000</v>
      </c>
      <c r="B404" s="903">
        <v>0.49</v>
      </c>
      <c r="C404" s="440">
        <v>0.5</v>
      </c>
      <c r="D404" s="569"/>
    </row>
    <row r="405" spans="1:4" ht="15.5" hidden="1" x14ac:dyDescent="0.35">
      <c r="A405" s="439">
        <v>1100000</v>
      </c>
      <c r="B405" s="903">
        <v>0.49</v>
      </c>
      <c r="C405" s="440">
        <v>0.5</v>
      </c>
      <c r="D405" s="569"/>
    </row>
    <row r="406" spans="1:4" ht="15.5" hidden="1" x14ac:dyDescent="0.35">
      <c r="A406" s="439">
        <v>1105000</v>
      </c>
      <c r="B406" s="903">
        <v>0.49</v>
      </c>
      <c r="C406" s="440">
        <v>0.5</v>
      </c>
      <c r="D406" s="569"/>
    </row>
    <row r="407" spans="1:4" ht="15.5" hidden="1" x14ac:dyDescent="0.35">
      <c r="A407" s="439">
        <v>1110000</v>
      </c>
      <c r="B407" s="903">
        <v>0.49</v>
      </c>
      <c r="C407" s="440">
        <v>0.5</v>
      </c>
      <c r="D407" s="569"/>
    </row>
    <row r="408" spans="1:4" ht="15.5" hidden="1" x14ac:dyDescent="0.35">
      <c r="A408" s="439">
        <v>1115000</v>
      </c>
      <c r="B408" s="903">
        <v>0.49</v>
      </c>
      <c r="C408" s="440">
        <v>0.5</v>
      </c>
      <c r="D408" s="569"/>
    </row>
    <row r="409" spans="1:4" ht="15.5" hidden="1" x14ac:dyDescent="0.35">
      <c r="A409" s="439">
        <v>1120000</v>
      </c>
      <c r="B409" s="903">
        <v>0.49</v>
      </c>
      <c r="C409" s="440">
        <v>0.5</v>
      </c>
      <c r="D409" s="569"/>
    </row>
    <row r="410" spans="1:4" ht="15.5" hidden="1" x14ac:dyDescent="0.35">
      <c r="A410" s="439">
        <v>1125000</v>
      </c>
      <c r="B410" s="903">
        <v>0.49</v>
      </c>
      <c r="C410" s="440">
        <v>0.5</v>
      </c>
      <c r="D410" s="569"/>
    </row>
    <row r="411" spans="1:4" ht="15.5" hidden="1" x14ac:dyDescent="0.35">
      <c r="A411" s="439">
        <v>1130000</v>
      </c>
      <c r="B411" s="903">
        <v>0.49</v>
      </c>
      <c r="C411" s="440">
        <v>0.49</v>
      </c>
      <c r="D411" s="569"/>
    </row>
    <row r="412" spans="1:4" ht="15.5" hidden="1" x14ac:dyDescent="0.35">
      <c r="A412" s="439">
        <v>1135000</v>
      </c>
      <c r="B412" s="903">
        <v>0.49</v>
      </c>
      <c r="C412" s="440">
        <v>0.49</v>
      </c>
      <c r="D412" s="569"/>
    </row>
    <row r="413" spans="1:4" ht="15.5" hidden="1" x14ac:dyDescent="0.35">
      <c r="A413" s="439">
        <v>1140000</v>
      </c>
      <c r="B413" s="903">
        <v>0.49</v>
      </c>
      <c r="C413" s="440">
        <v>0.49</v>
      </c>
      <c r="D413" s="569"/>
    </row>
    <row r="414" spans="1:4" ht="15.5" hidden="1" x14ac:dyDescent="0.35">
      <c r="A414" s="439">
        <v>1145000</v>
      </c>
      <c r="B414" s="903">
        <v>0.49</v>
      </c>
      <c r="C414" s="440">
        <v>0.49</v>
      </c>
      <c r="D414" s="569"/>
    </row>
    <row r="415" spans="1:4" ht="15.5" hidden="1" x14ac:dyDescent="0.35">
      <c r="A415" s="439">
        <v>1150000</v>
      </c>
      <c r="B415" s="903">
        <v>0.49</v>
      </c>
      <c r="C415" s="440">
        <v>0.49</v>
      </c>
      <c r="D415" s="569"/>
    </row>
    <row r="416" spans="1:4" ht="15.5" hidden="1" x14ac:dyDescent="0.35">
      <c r="A416" s="439">
        <v>1155000</v>
      </c>
      <c r="B416" s="903">
        <v>0.49</v>
      </c>
      <c r="C416" s="440">
        <v>0.49</v>
      </c>
      <c r="D416" s="569"/>
    </row>
    <row r="417" spans="1:4" ht="15.5" hidden="1" x14ac:dyDescent="0.35">
      <c r="A417" s="439">
        <v>1160000</v>
      </c>
      <c r="B417" s="903">
        <v>0.49</v>
      </c>
      <c r="C417" s="440">
        <v>0.49</v>
      </c>
      <c r="D417" s="569"/>
    </row>
    <row r="418" spans="1:4" ht="15.5" hidden="1" x14ac:dyDescent="0.35">
      <c r="A418" s="439">
        <v>1165000</v>
      </c>
      <c r="B418" s="903">
        <v>0.49</v>
      </c>
      <c r="C418" s="440">
        <v>0.49</v>
      </c>
      <c r="D418" s="569"/>
    </row>
    <row r="419" spans="1:4" ht="15.5" hidden="1" x14ac:dyDescent="0.35">
      <c r="A419" s="439">
        <v>1170000</v>
      </c>
      <c r="B419" s="903">
        <v>0.49</v>
      </c>
      <c r="C419" s="440">
        <v>0.49</v>
      </c>
      <c r="D419" s="569"/>
    </row>
    <row r="420" spans="1:4" ht="15.5" hidden="1" x14ac:dyDescent="0.35">
      <c r="A420" s="439">
        <v>1175000</v>
      </c>
      <c r="B420" s="903">
        <v>0.49</v>
      </c>
      <c r="C420" s="440">
        <v>0.49</v>
      </c>
      <c r="D420" s="569"/>
    </row>
    <row r="421" spans="1:4" ht="15.5" hidden="1" x14ac:dyDescent="0.35">
      <c r="A421" s="439">
        <v>1180000</v>
      </c>
      <c r="B421" s="903">
        <v>0.49</v>
      </c>
      <c r="C421" s="440">
        <v>0.49</v>
      </c>
      <c r="D421" s="569"/>
    </row>
    <row r="422" spans="1:4" ht="15.5" hidden="1" x14ac:dyDescent="0.35">
      <c r="A422" s="439">
        <v>1185000</v>
      </c>
      <c r="B422" s="903">
        <v>0.49</v>
      </c>
      <c r="C422" s="440">
        <v>0.49</v>
      </c>
      <c r="D422" s="569"/>
    </row>
    <row r="423" spans="1:4" ht="15.5" hidden="1" x14ac:dyDescent="0.35">
      <c r="A423" s="439">
        <v>1190000</v>
      </c>
      <c r="B423" s="903">
        <v>0.49</v>
      </c>
      <c r="C423" s="440">
        <v>0.49</v>
      </c>
      <c r="D423" s="569"/>
    </row>
    <row r="424" spans="1:4" ht="15.5" hidden="1" x14ac:dyDescent="0.35">
      <c r="A424" s="439">
        <v>1195000</v>
      </c>
      <c r="B424" s="903">
        <v>0.49</v>
      </c>
      <c r="C424" s="440">
        <v>0.49</v>
      </c>
      <c r="D424" s="569"/>
    </row>
    <row r="425" spans="1:4" ht="15.5" hidden="1" x14ac:dyDescent="0.35">
      <c r="A425" s="439">
        <v>1200000</v>
      </c>
      <c r="B425" s="903">
        <v>0.49</v>
      </c>
      <c r="C425" s="440">
        <v>0.49</v>
      </c>
      <c r="D425" s="569"/>
    </row>
    <row r="426" spans="1:4" ht="15.5" hidden="1" x14ac:dyDescent="0.35">
      <c r="A426" s="439">
        <v>1205000</v>
      </c>
      <c r="B426" s="903">
        <v>0.49</v>
      </c>
      <c r="C426" s="440">
        <v>0.49</v>
      </c>
      <c r="D426" s="569"/>
    </row>
    <row r="427" spans="1:4" ht="15.5" hidden="1" x14ac:dyDescent="0.35">
      <c r="A427" s="439">
        <v>1210000</v>
      </c>
      <c r="B427" s="903">
        <v>0.49</v>
      </c>
      <c r="C427" s="440">
        <v>0.49</v>
      </c>
      <c r="D427" s="569"/>
    </row>
    <row r="428" spans="1:4" ht="15.5" hidden="1" x14ac:dyDescent="0.35">
      <c r="A428" s="439">
        <v>1215000</v>
      </c>
      <c r="B428" s="903">
        <v>0.49</v>
      </c>
      <c r="C428" s="440">
        <v>0.49</v>
      </c>
      <c r="D428" s="569"/>
    </row>
    <row r="429" spans="1:4" ht="15.5" hidden="1" x14ac:dyDescent="0.35">
      <c r="A429" s="439">
        <v>1220000</v>
      </c>
      <c r="B429" s="903">
        <v>0.49</v>
      </c>
      <c r="C429" s="440">
        <v>0.49</v>
      </c>
      <c r="D429" s="569"/>
    </row>
    <row r="430" spans="1:4" ht="15.5" hidden="1" x14ac:dyDescent="0.35">
      <c r="A430" s="439">
        <v>1225000</v>
      </c>
      <c r="B430" s="903">
        <v>0.49</v>
      </c>
      <c r="C430" s="440">
        <v>0.49</v>
      </c>
      <c r="D430" s="569"/>
    </row>
    <row r="431" spans="1:4" ht="15.5" hidden="1" x14ac:dyDescent="0.35">
      <c r="A431" s="439">
        <v>1230000</v>
      </c>
      <c r="B431" s="903">
        <v>0.49</v>
      </c>
      <c r="C431" s="440">
        <v>0.49</v>
      </c>
      <c r="D431" s="569"/>
    </row>
    <row r="432" spans="1:4" ht="15.5" hidden="1" x14ac:dyDescent="0.35">
      <c r="A432" s="439">
        <v>1235000</v>
      </c>
      <c r="B432" s="903">
        <v>0.49</v>
      </c>
      <c r="C432" s="440">
        <v>0.49</v>
      </c>
      <c r="D432" s="569"/>
    </row>
    <row r="433" spans="1:4" ht="15.5" hidden="1" x14ac:dyDescent="0.35">
      <c r="A433" s="439">
        <v>1240000</v>
      </c>
      <c r="B433" s="903">
        <v>0.49</v>
      </c>
      <c r="C433" s="440">
        <v>0.49</v>
      </c>
      <c r="D433" s="569"/>
    </row>
    <row r="434" spans="1:4" ht="15.5" hidden="1" x14ac:dyDescent="0.35">
      <c r="A434" s="439">
        <v>1245000</v>
      </c>
      <c r="B434" s="903">
        <v>0.49</v>
      </c>
      <c r="C434" s="440">
        <v>0.49</v>
      </c>
      <c r="D434" s="569"/>
    </row>
    <row r="435" spans="1:4" ht="15.5" hidden="1" x14ac:dyDescent="0.35">
      <c r="A435" s="439">
        <v>1250000</v>
      </c>
      <c r="B435" s="903">
        <v>0.49</v>
      </c>
      <c r="C435" s="440">
        <v>0.49</v>
      </c>
      <c r="D435" s="569"/>
    </row>
    <row r="436" spans="1:4" ht="15.5" hidden="1" x14ac:dyDescent="0.35">
      <c r="A436" s="439">
        <v>1255000</v>
      </c>
      <c r="B436" s="903">
        <v>0.49</v>
      </c>
      <c r="C436" s="440">
        <v>0.49</v>
      </c>
      <c r="D436" s="569"/>
    </row>
    <row r="437" spans="1:4" ht="15.5" hidden="1" x14ac:dyDescent="0.35">
      <c r="A437" s="439">
        <v>1260000</v>
      </c>
      <c r="B437" s="903">
        <v>0.49</v>
      </c>
      <c r="C437" s="440">
        <v>0.49</v>
      </c>
      <c r="D437" s="569"/>
    </row>
    <row r="438" spans="1:4" ht="15.5" hidden="1" x14ac:dyDescent="0.35">
      <c r="A438" s="439">
        <v>1265000</v>
      </c>
      <c r="B438" s="903">
        <v>0.49</v>
      </c>
      <c r="C438" s="440">
        <v>0.49</v>
      </c>
      <c r="D438" s="569"/>
    </row>
    <row r="439" spans="1:4" ht="15.5" hidden="1" x14ac:dyDescent="0.35">
      <c r="A439" s="439">
        <v>1270000</v>
      </c>
      <c r="B439" s="903">
        <v>0.49</v>
      </c>
      <c r="C439" s="440">
        <v>0.49</v>
      </c>
      <c r="D439" s="569"/>
    </row>
    <row r="440" spans="1:4" ht="15.5" hidden="1" x14ac:dyDescent="0.35">
      <c r="A440" s="439">
        <v>1275000</v>
      </c>
      <c r="B440" s="903">
        <v>0.49</v>
      </c>
      <c r="C440" s="440">
        <v>0.49</v>
      </c>
      <c r="D440" s="569"/>
    </row>
    <row r="441" spans="1:4" ht="15.5" hidden="1" x14ac:dyDescent="0.35">
      <c r="A441" s="439">
        <v>1280000</v>
      </c>
      <c r="B441" s="903">
        <v>0.49</v>
      </c>
      <c r="C441" s="440">
        <v>0.49</v>
      </c>
      <c r="D441" s="569"/>
    </row>
    <row r="442" spans="1:4" ht="15.5" hidden="1" x14ac:dyDescent="0.35">
      <c r="A442" s="439">
        <v>1285000</v>
      </c>
      <c r="B442" s="903">
        <v>0.49</v>
      </c>
      <c r="C442" s="440">
        <v>0.49</v>
      </c>
      <c r="D442" s="569"/>
    </row>
    <row r="443" spans="1:4" ht="15.5" hidden="1" x14ac:dyDescent="0.35">
      <c r="A443" s="439">
        <v>1290000</v>
      </c>
      <c r="B443" s="903">
        <v>0.49</v>
      </c>
      <c r="C443" s="440">
        <v>0.49</v>
      </c>
      <c r="D443" s="569"/>
    </row>
    <row r="444" spans="1:4" ht="15.5" hidden="1" x14ac:dyDescent="0.35">
      <c r="A444" s="439">
        <v>1295000</v>
      </c>
      <c r="B444" s="903">
        <v>0.49</v>
      </c>
      <c r="C444" s="440">
        <v>0.49</v>
      </c>
      <c r="D444" s="569"/>
    </row>
    <row r="445" spans="1:4" ht="15.5" hidden="1" x14ac:dyDescent="0.35">
      <c r="A445" s="439">
        <v>1300000</v>
      </c>
      <c r="B445" s="903">
        <v>0.49</v>
      </c>
      <c r="C445" s="440">
        <v>0.49</v>
      </c>
      <c r="D445" s="569"/>
    </row>
    <row r="446" spans="1:4" ht="15.5" hidden="1" x14ac:dyDescent="0.35">
      <c r="A446" s="439">
        <v>1305000</v>
      </c>
      <c r="B446" s="903">
        <v>0.49</v>
      </c>
      <c r="C446" s="440">
        <v>0.49</v>
      </c>
      <c r="D446" s="569"/>
    </row>
    <row r="447" spans="1:4" ht="15.5" hidden="1" x14ac:dyDescent="0.35">
      <c r="A447" s="439">
        <v>1310000</v>
      </c>
      <c r="B447" s="903">
        <v>0.49</v>
      </c>
      <c r="C447" s="440">
        <v>0.49</v>
      </c>
      <c r="D447" s="569"/>
    </row>
    <row r="448" spans="1:4" ht="15.5" hidden="1" x14ac:dyDescent="0.35">
      <c r="A448" s="439">
        <v>1315000</v>
      </c>
      <c r="B448" s="903">
        <v>0.49</v>
      </c>
      <c r="C448" s="440">
        <v>0.49</v>
      </c>
      <c r="D448" s="569"/>
    </row>
    <row r="449" spans="1:4" ht="15.5" hidden="1" x14ac:dyDescent="0.35">
      <c r="A449" s="439">
        <v>1320000</v>
      </c>
      <c r="B449" s="903">
        <v>0.49</v>
      </c>
      <c r="C449" s="440">
        <v>0.49</v>
      </c>
      <c r="D449" s="569"/>
    </row>
    <row r="450" spans="1:4" ht="15.5" hidden="1" x14ac:dyDescent="0.35">
      <c r="A450" s="439">
        <v>1325000</v>
      </c>
      <c r="B450" s="903">
        <v>0.49</v>
      </c>
      <c r="C450" s="440">
        <v>0.49</v>
      </c>
      <c r="D450" s="569"/>
    </row>
    <row r="451" spans="1:4" ht="15.5" hidden="1" x14ac:dyDescent="0.35">
      <c r="A451" s="439">
        <v>1330000</v>
      </c>
      <c r="B451" s="903">
        <v>0.49</v>
      </c>
      <c r="C451" s="440">
        <v>0.49</v>
      </c>
      <c r="D451" s="569"/>
    </row>
    <row r="452" spans="1:4" ht="15.5" hidden="1" x14ac:dyDescent="0.35">
      <c r="A452" s="439">
        <v>1335000</v>
      </c>
      <c r="B452" s="903">
        <v>0.49</v>
      </c>
      <c r="C452" s="440">
        <v>0.49</v>
      </c>
      <c r="D452" s="569"/>
    </row>
    <row r="453" spans="1:4" ht="15.5" hidden="1" x14ac:dyDescent="0.35">
      <c r="A453" s="439">
        <v>1340000</v>
      </c>
      <c r="B453" s="903">
        <v>0.49</v>
      </c>
      <c r="C453" s="440">
        <v>0.49</v>
      </c>
      <c r="D453" s="569"/>
    </row>
    <row r="454" spans="1:4" ht="15.5" hidden="1" x14ac:dyDescent="0.35">
      <c r="A454" s="439">
        <v>1345000</v>
      </c>
      <c r="B454" s="903">
        <v>0.49</v>
      </c>
      <c r="C454" s="440">
        <v>0.49</v>
      </c>
      <c r="D454" s="569"/>
    </row>
    <row r="455" spans="1:4" ht="15.5" hidden="1" x14ac:dyDescent="0.35">
      <c r="A455" s="439">
        <v>1350000</v>
      </c>
      <c r="B455" s="903">
        <v>0.49</v>
      </c>
      <c r="C455" s="440">
        <v>0.49</v>
      </c>
      <c r="D455" s="569"/>
    </row>
    <row r="456" spans="1:4" ht="15.5" hidden="1" x14ac:dyDescent="0.35">
      <c r="A456" s="439">
        <v>1355000</v>
      </c>
      <c r="B456" s="903">
        <v>0.49</v>
      </c>
      <c r="C456" s="440">
        <v>0.49</v>
      </c>
      <c r="D456" s="569"/>
    </row>
    <row r="457" spans="1:4" ht="15.5" hidden="1" x14ac:dyDescent="0.35">
      <c r="A457" s="439">
        <v>1360000</v>
      </c>
      <c r="B457" s="903">
        <v>0.49</v>
      </c>
      <c r="C457" s="440">
        <v>0.49</v>
      </c>
      <c r="D457" s="569"/>
    </row>
    <row r="458" spans="1:4" ht="15.5" hidden="1" x14ac:dyDescent="0.35">
      <c r="A458" s="439">
        <v>1365000</v>
      </c>
      <c r="B458" s="903">
        <v>0.49</v>
      </c>
      <c r="C458" s="440">
        <v>0.49</v>
      </c>
      <c r="D458" s="569"/>
    </row>
    <row r="459" spans="1:4" ht="15.5" hidden="1" x14ac:dyDescent="0.35">
      <c r="A459" s="439">
        <v>1370000</v>
      </c>
      <c r="B459" s="903">
        <v>0.49</v>
      </c>
      <c r="C459" s="440">
        <v>0.49</v>
      </c>
      <c r="D459" s="569"/>
    </row>
    <row r="460" spans="1:4" ht="15.5" hidden="1" x14ac:dyDescent="0.35">
      <c r="A460" s="439">
        <v>1375000</v>
      </c>
      <c r="B460" s="903">
        <v>0.49</v>
      </c>
      <c r="C460" s="440">
        <v>0.49</v>
      </c>
      <c r="D460" s="569"/>
    </row>
    <row r="461" spans="1:4" ht="15.5" hidden="1" x14ac:dyDescent="0.35">
      <c r="A461" s="439">
        <v>1380000</v>
      </c>
      <c r="B461" s="903">
        <v>0.49</v>
      </c>
      <c r="C461" s="440">
        <v>0.49</v>
      </c>
      <c r="D461" s="569"/>
    </row>
    <row r="462" spans="1:4" ht="15.5" hidden="1" x14ac:dyDescent="0.35">
      <c r="A462" s="439">
        <v>1385000</v>
      </c>
      <c r="B462" s="903">
        <v>0.49</v>
      </c>
      <c r="C462" s="440">
        <v>0.49</v>
      </c>
      <c r="D462" s="569"/>
    </row>
    <row r="463" spans="1:4" ht="15.5" hidden="1" x14ac:dyDescent="0.35">
      <c r="A463" s="439">
        <v>1390000</v>
      </c>
      <c r="B463" s="903">
        <v>0.49</v>
      </c>
      <c r="C463" s="440">
        <v>0.49</v>
      </c>
      <c r="D463" s="569"/>
    </row>
    <row r="464" spans="1:4" ht="15.5" hidden="1" x14ac:dyDescent="0.35">
      <c r="A464" s="439">
        <v>1395000</v>
      </c>
      <c r="B464" s="903">
        <v>0.49</v>
      </c>
      <c r="C464" s="440">
        <v>0.49</v>
      </c>
      <c r="D464" s="569"/>
    </row>
    <row r="465" spans="1:4" ht="15.5" hidden="1" x14ac:dyDescent="0.35">
      <c r="A465" s="439">
        <v>1400000</v>
      </c>
      <c r="B465" s="903">
        <v>0.49</v>
      </c>
      <c r="C465" s="440">
        <v>0.49</v>
      </c>
      <c r="D465" s="569"/>
    </row>
    <row r="466" spans="1:4" ht="15.5" hidden="1" x14ac:dyDescent="0.35">
      <c r="A466" s="439">
        <v>1405000</v>
      </c>
      <c r="B466" s="903">
        <v>0.49</v>
      </c>
      <c r="C466" s="440">
        <v>0.49</v>
      </c>
      <c r="D466" s="569"/>
    </row>
    <row r="467" spans="1:4" ht="15.5" hidden="1" x14ac:dyDescent="0.35">
      <c r="A467" s="439">
        <v>1410000</v>
      </c>
      <c r="B467" s="903">
        <v>0.49</v>
      </c>
      <c r="C467" s="440">
        <v>0.49</v>
      </c>
      <c r="D467" s="569"/>
    </row>
    <row r="468" spans="1:4" ht="15.5" hidden="1" x14ac:dyDescent="0.35">
      <c r="A468" s="439">
        <v>1415000</v>
      </c>
      <c r="B468" s="903">
        <v>0.49</v>
      </c>
      <c r="C468" s="440">
        <v>0.49</v>
      </c>
      <c r="D468" s="569"/>
    </row>
    <row r="469" spans="1:4" ht="15.5" hidden="1" x14ac:dyDescent="0.35">
      <c r="A469" s="439">
        <v>1420000</v>
      </c>
      <c r="B469" s="903">
        <v>0.49</v>
      </c>
      <c r="C469" s="440">
        <v>0.49</v>
      </c>
      <c r="D469" s="569"/>
    </row>
    <row r="470" spans="1:4" ht="15.5" hidden="1" x14ac:dyDescent="0.35">
      <c r="A470" s="439">
        <v>1425000</v>
      </c>
      <c r="B470" s="903">
        <v>0.49</v>
      </c>
      <c r="C470" s="440">
        <v>0.49</v>
      </c>
      <c r="D470" s="569"/>
    </row>
    <row r="471" spans="1:4" ht="15.5" hidden="1" x14ac:dyDescent="0.35">
      <c r="A471" s="439">
        <v>1430000</v>
      </c>
      <c r="B471" s="903">
        <v>0.49</v>
      </c>
      <c r="C471" s="440">
        <v>0.49</v>
      </c>
      <c r="D471" s="569"/>
    </row>
    <row r="472" spans="1:4" ht="15.5" hidden="1" x14ac:dyDescent="0.35">
      <c r="A472" s="439">
        <v>1435000</v>
      </c>
      <c r="B472" s="903">
        <v>0.49</v>
      </c>
      <c r="C472" s="440">
        <v>0.49</v>
      </c>
      <c r="D472" s="569"/>
    </row>
    <row r="473" spans="1:4" ht="15.5" hidden="1" x14ac:dyDescent="0.35">
      <c r="A473" s="439">
        <v>1440000</v>
      </c>
      <c r="B473" s="903">
        <v>0.49</v>
      </c>
      <c r="C473" s="440">
        <v>0.49</v>
      </c>
      <c r="D473" s="569"/>
    </row>
    <row r="474" spans="1:4" ht="15.5" hidden="1" x14ac:dyDescent="0.35">
      <c r="A474" s="439">
        <v>1445000</v>
      </c>
      <c r="B474" s="903">
        <v>0.49</v>
      </c>
      <c r="C474" s="440">
        <v>0.49</v>
      </c>
      <c r="D474" s="569"/>
    </row>
    <row r="475" spans="1:4" ht="15.5" hidden="1" x14ac:dyDescent="0.35">
      <c r="A475" s="439">
        <v>1450000</v>
      </c>
      <c r="B475" s="903">
        <v>0.49</v>
      </c>
      <c r="C475" s="440">
        <v>0.49</v>
      </c>
      <c r="D475" s="569"/>
    </row>
    <row r="476" spans="1:4" ht="15.5" hidden="1" x14ac:dyDescent="0.35">
      <c r="A476" s="439">
        <v>1455000</v>
      </c>
      <c r="B476" s="903">
        <v>0.49</v>
      </c>
      <c r="C476" s="440">
        <v>0.49</v>
      </c>
      <c r="D476" s="569"/>
    </row>
    <row r="477" spans="1:4" ht="15.5" hidden="1" x14ac:dyDescent="0.35">
      <c r="A477" s="439">
        <v>1460000</v>
      </c>
      <c r="B477" s="903">
        <v>0.49</v>
      </c>
      <c r="C477" s="440">
        <v>0.49</v>
      </c>
      <c r="D477" s="569"/>
    </row>
    <row r="478" spans="1:4" ht="15.5" hidden="1" x14ac:dyDescent="0.35">
      <c r="A478" s="439">
        <v>1465000</v>
      </c>
      <c r="B478" s="903">
        <v>0.49</v>
      </c>
      <c r="C478" s="440">
        <v>0.49</v>
      </c>
      <c r="D478" s="569"/>
    </row>
    <row r="479" spans="1:4" ht="15.5" hidden="1" x14ac:dyDescent="0.35">
      <c r="A479" s="439">
        <v>1470000</v>
      </c>
      <c r="B479" s="903">
        <v>0.49</v>
      </c>
      <c r="C479" s="440">
        <v>0.49</v>
      </c>
      <c r="D479" s="569"/>
    </row>
    <row r="480" spans="1:4" ht="15.5" hidden="1" x14ac:dyDescent="0.35">
      <c r="A480" s="439">
        <v>1475000</v>
      </c>
      <c r="B480" s="903">
        <v>0.49</v>
      </c>
      <c r="C480" s="440">
        <v>0.49</v>
      </c>
      <c r="D480" s="569"/>
    </row>
    <row r="481" spans="1:4" ht="15.5" hidden="1" x14ac:dyDescent="0.35">
      <c r="A481" s="439">
        <v>1480000</v>
      </c>
      <c r="B481" s="903">
        <v>0.49</v>
      </c>
      <c r="C481" s="440">
        <v>0.49</v>
      </c>
      <c r="D481" s="569"/>
    </row>
    <row r="482" spans="1:4" ht="15.5" hidden="1" x14ac:dyDescent="0.35">
      <c r="A482" s="439">
        <v>1485000</v>
      </c>
      <c r="B482" s="903">
        <v>0.49</v>
      </c>
      <c r="C482" s="440">
        <v>0.49</v>
      </c>
      <c r="D482" s="569"/>
    </row>
    <row r="483" spans="1:4" ht="15.5" hidden="1" x14ac:dyDescent="0.35">
      <c r="A483" s="439">
        <v>1490000</v>
      </c>
      <c r="B483" s="903">
        <v>0.49</v>
      </c>
      <c r="C483" s="440">
        <v>0.49</v>
      </c>
      <c r="D483" s="569"/>
    </row>
    <row r="484" spans="1:4" ht="15.5" hidden="1" x14ac:dyDescent="0.35">
      <c r="A484" s="439">
        <v>1495000</v>
      </c>
      <c r="B484" s="903">
        <v>0.49</v>
      </c>
      <c r="C484" s="440">
        <v>0.49</v>
      </c>
      <c r="D484" s="569"/>
    </row>
    <row r="485" spans="1:4" ht="15.5" hidden="1" x14ac:dyDescent="0.35">
      <c r="A485" s="439">
        <v>1500000</v>
      </c>
      <c r="B485" s="903">
        <v>0.49</v>
      </c>
      <c r="C485" s="440">
        <v>0.49</v>
      </c>
      <c r="D485" s="569"/>
    </row>
    <row r="486" spans="1:4" ht="15.5" hidden="1" x14ac:dyDescent="0.35">
      <c r="A486" s="439">
        <v>1505000</v>
      </c>
      <c r="B486" s="903">
        <v>0.49</v>
      </c>
      <c r="C486" s="440">
        <v>0.49</v>
      </c>
      <c r="D486" s="569"/>
    </row>
    <row r="487" spans="1:4" ht="15.5" hidden="1" x14ac:dyDescent="0.35">
      <c r="A487" s="439">
        <v>1510000</v>
      </c>
      <c r="B487" s="903">
        <v>0.49</v>
      </c>
      <c r="C487" s="440">
        <v>0.49</v>
      </c>
      <c r="D487" s="569"/>
    </row>
    <row r="488" spans="1:4" ht="15.5" hidden="1" x14ac:dyDescent="0.35">
      <c r="A488" s="439">
        <v>1515000</v>
      </c>
      <c r="B488" s="903">
        <v>0.49</v>
      </c>
      <c r="C488" s="440">
        <v>0.49</v>
      </c>
      <c r="D488" s="569"/>
    </row>
    <row r="489" spans="1:4" ht="15.5" hidden="1" x14ac:dyDescent="0.35">
      <c r="A489" s="439">
        <v>1520000</v>
      </c>
      <c r="B489" s="903">
        <v>0.49</v>
      </c>
      <c r="C489" s="440">
        <v>0.49</v>
      </c>
      <c r="D489" s="569"/>
    </row>
    <row r="490" spans="1:4" ht="15.5" hidden="1" x14ac:dyDescent="0.35">
      <c r="A490" s="439">
        <v>1525000</v>
      </c>
      <c r="B490" s="903">
        <v>0.49</v>
      </c>
      <c r="C490" s="440">
        <v>0.49</v>
      </c>
      <c r="D490" s="569"/>
    </row>
    <row r="491" spans="1:4" ht="15.5" hidden="1" x14ac:dyDescent="0.35">
      <c r="A491" s="439">
        <v>1530000</v>
      </c>
      <c r="B491" s="903">
        <v>0.49</v>
      </c>
      <c r="C491" s="440">
        <v>0.49</v>
      </c>
      <c r="D491" s="569"/>
    </row>
    <row r="492" spans="1:4" ht="15.5" hidden="1" x14ac:dyDescent="0.35">
      <c r="A492" s="439">
        <v>1535000</v>
      </c>
      <c r="B492" s="903">
        <v>0.49</v>
      </c>
      <c r="C492" s="440">
        <v>0.49</v>
      </c>
      <c r="D492" s="569"/>
    </row>
    <row r="493" spans="1:4" ht="15.5" hidden="1" x14ac:dyDescent="0.35">
      <c r="A493" s="439">
        <v>1540000</v>
      </c>
      <c r="B493" s="903">
        <v>0.49</v>
      </c>
      <c r="C493" s="440">
        <v>0.49</v>
      </c>
      <c r="D493" s="569"/>
    </row>
    <row r="494" spans="1:4" ht="15.5" hidden="1" x14ac:dyDescent="0.35">
      <c r="A494" s="439">
        <v>1545000</v>
      </c>
      <c r="B494" s="903">
        <v>0.49</v>
      </c>
      <c r="C494" s="440">
        <v>0.49</v>
      </c>
      <c r="D494" s="569"/>
    </row>
    <row r="495" spans="1:4" ht="15.5" hidden="1" x14ac:dyDescent="0.35">
      <c r="A495" s="439">
        <v>1550000</v>
      </c>
      <c r="B495" s="903">
        <v>0.49</v>
      </c>
      <c r="C495" s="440">
        <v>0.49</v>
      </c>
      <c r="D495" s="569"/>
    </row>
    <row r="496" spans="1:4" ht="15.5" hidden="1" x14ac:dyDescent="0.35">
      <c r="A496" s="439">
        <v>1555000</v>
      </c>
      <c r="B496" s="903">
        <v>0.49</v>
      </c>
      <c r="C496" s="440">
        <v>0.49</v>
      </c>
      <c r="D496" s="569"/>
    </row>
    <row r="497" spans="1:4" ht="15.5" hidden="1" x14ac:dyDescent="0.35">
      <c r="A497" s="439">
        <v>1560000</v>
      </c>
      <c r="B497" s="903">
        <v>0.49</v>
      </c>
      <c r="C497" s="440">
        <v>0.49</v>
      </c>
      <c r="D497" s="569"/>
    </row>
    <row r="498" spans="1:4" ht="15.5" hidden="1" x14ac:dyDescent="0.35">
      <c r="A498" s="439">
        <v>1565000</v>
      </c>
      <c r="B498" s="903">
        <v>0.49</v>
      </c>
      <c r="C498" s="440">
        <v>0.49</v>
      </c>
      <c r="D498" s="569"/>
    </row>
    <row r="499" spans="1:4" ht="15.5" hidden="1" x14ac:dyDescent="0.35">
      <c r="A499" s="439">
        <v>1570000</v>
      </c>
      <c r="B499" s="903">
        <v>0.49</v>
      </c>
      <c r="C499" s="440">
        <v>0.49</v>
      </c>
      <c r="D499" s="569"/>
    </row>
    <row r="500" spans="1:4" ht="15.5" hidden="1" x14ac:dyDescent="0.35">
      <c r="A500" s="439">
        <v>1575000</v>
      </c>
      <c r="B500" s="903">
        <v>0.49</v>
      </c>
      <c r="C500" s="440">
        <v>0.49</v>
      </c>
      <c r="D500" s="569"/>
    </row>
    <row r="501" spans="1:4" ht="15.5" hidden="1" x14ac:dyDescent="0.35">
      <c r="A501" s="439">
        <v>1580000</v>
      </c>
      <c r="B501" s="903">
        <v>0.49</v>
      </c>
      <c r="C501" s="440">
        <v>0.49</v>
      </c>
      <c r="D501" s="569"/>
    </row>
    <row r="502" spans="1:4" ht="15.5" hidden="1" x14ac:dyDescent="0.35">
      <c r="A502" s="439">
        <v>1585000</v>
      </c>
      <c r="B502" s="903">
        <v>0.49</v>
      </c>
      <c r="C502" s="440">
        <v>0.49</v>
      </c>
      <c r="D502" s="569"/>
    </row>
    <row r="503" spans="1:4" ht="15.5" hidden="1" x14ac:dyDescent="0.35">
      <c r="A503" s="439">
        <v>1590000</v>
      </c>
      <c r="B503" s="903">
        <v>0.49</v>
      </c>
      <c r="C503" s="440">
        <v>0.49</v>
      </c>
      <c r="D503" s="569"/>
    </row>
    <row r="504" spans="1:4" ht="15.5" hidden="1" x14ac:dyDescent="0.35">
      <c r="A504" s="439">
        <v>1595000</v>
      </c>
      <c r="B504" s="903">
        <v>0.49</v>
      </c>
      <c r="C504" s="440">
        <v>0.49</v>
      </c>
      <c r="D504" s="569"/>
    </row>
    <row r="505" spans="1:4" ht="15.5" hidden="1" x14ac:dyDescent="0.35">
      <c r="A505" s="439">
        <v>1600000</v>
      </c>
      <c r="B505" s="903">
        <v>0.49</v>
      </c>
      <c r="C505" s="440">
        <v>0.49</v>
      </c>
      <c r="D505" s="569"/>
    </row>
    <row r="506" spans="1:4" ht="15.5" hidden="1" x14ac:dyDescent="0.35">
      <c r="A506" s="439">
        <v>1605000</v>
      </c>
      <c r="B506" s="903">
        <v>0.49</v>
      </c>
      <c r="C506" s="440">
        <v>0.49</v>
      </c>
      <c r="D506" s="569"/>
    </row>
    <row r="507" spans="1:4" ht="15.5" hidden="1" x14ac:dyDescent="0.35">
      <c r="A507" s="439">
        <v>1610000</v>
      </c>
      <c r="B507" s="903">
        <v>0.49</v>
      </c>
      <c r="C507" s="440">
        <v>0.49</v>
      </c>
      <c r="D507" s="569"/>
    </row>
    <row r="508" spans="1:4" ht="15.5" hidden="1" x14ac:dyDescent="0.35">
      <c r="A508" s="439">
        <v>1615000</v>
      </c>
      <c r="B508" s="903">
        <v>0.49</v>
      </c>
      <c r="C508" s="440">
        <v>0.49</v>
      </c>
      <c r="D508" s="569"/>
    </row>
    <row r="509" spans="1:4" ht="15.5" hidden="1" x14ac:dyDescent="0.35">
      <c r="A509" s="439">
        <v>1620000</v>
      </c>
      <c r="B509" s="903">
        <v>0.49</v>
      </c>
      <c r="C509" s="440">
        <v>0.49</v>
      </c>
      <c r="D509" s="569"/>
    </row>
    <row r="510" spans="1:4" ht="15.5" hidden="1" x14ac:dyDescent="0.35">
      <c r="A510" s="439">
        <v>1625000</v>
      </c>
      <c r="B510" s="903">
        <v>0.49</v>
      </c>
      <c r="C510" s="440">
        <v>0.49</v>
      </c>
      <c r="D510" s="569"/>
    </row>
    <row r="511" spans="1:4" ht="15.5" hidden="1" x14ac:dyDescent="0.35">
      <c r="A511" s="439">
        <v>1630000</v>
      </c>
      <c r="B511" s="903">
        <v>0.49</v>
      </c>
      <c r="C511" s="440">
        <v>0.49</v>
      </c>
      <c r="D511" s="569"/>
    </row>
    <row r="512" spans="1:4" ht="15.5" hidden="1" x14ac:dyDescent="0.35">
      <c r="A512" s="439">
        <v>1635000</v>
      </c>
      <c r="B512" s="903">
        <v>0.49</v>
      </c>
      <c r="C512" s="440">
        <v>0.49</v>
      </c>
      <c r="D512" s="569"/>
    </row>
    <row r="513" spans="1:4" ht="15.5" hidden="1" x14ac:dyDescent="0.35">
      <c r="A513" s="439">
        <v>1640000</v>
      </c>
      <c r="B513" s="903">
        <v>0.49</v>
      </c>
      <c r="C513" s="440">
        <v>0.49</v>
      </c>
      <c r="D513" s="569"/>
    </row>
    <row r="514" spans="1:4" ht="15.5" hidden="1" x14ac:dyDescent="0.35">
      <c r="A514" s="439">
        <v>1645000</v>
      </c>
      <c r="B514" s="903">
        <v>0.49</v>
      </c>
      <c r="C514" s="440">
        <v>0.49</v>
      </c>
      <c r="D514" s="569"/>
    </row>
    <row r="515" spans="1:4" ht="15.5" hidden="1" x14ac:dyDescent="0.35">
      <c r="A515" s="439">
        <v>1650000</v>
      </c>
      <c r="B515" s="903">
        <v>0.49</v>
      </c>
      <c r="C515" s="440">
        <v>0.49</v>
      </c>
      <c r="D515" s="569"/>
    </row>
    <row r="516" spans="1:4" ht="15.5" hidden="1" x14ac:dyDescent="0.35">
      <c r="A516" s="439">
        <v>1655000</v>
      </c>
      <c r="B516" s="903">
        <v>0.49</v>
      </c>
      <c r="C516" s="440">
        <v>0.49</v>
      </c>
      <c r="D516" s="569"/>
    </row>
    <row r="517" spans="1:4" ht="15.5" hidden="1" x14ac:dyDescent="0.35">
      <c r="A517" s="439">
        <v>1660000</v>
      </c>
      <c r="B517" s="903">
        <v>0.49</v>
      </c>
      <c r="C517" s="440">
        <v>0.49</v>
      </c>
      <c r="D517" s="569"/>
    </row>
    <row r="518" spans="1:4" ht="15.5" hidden="1" x14ac:dyDescent="0.35">
      <c r="A518" s="439">
        <v>1665000</v>
      </c>
      <c r="B518" s="903">
        <v>0.49</v>
      </c>
      <c r="C518" s="440">
        <v>0.49</v>
      </c>
      <c r="D518" s="569"/>
    </row>
    <row r="519" spans="1:4" ht="15.5" hidden="1" x14ac:dyDescent="0.35">
      <c r="A519" s="439">
        <v>1670000</v>
      </c>
      <c r="B519" s="903">
        <v>0.49</v>
      </c>
      <c r="C519" s="440">
        <v>0.49</v>
      </c>
      <c r="D519" s="569"/>
    </row>
    <row r="520" spans="1:4" ht="15.5" hidden="1" x14ac:dyDescent="0.35">
      <c r="A520" s="439">
        <v>1675000</v>
      </c>
      <c r="B520" s="903">
        <v>0.49</v>
      </c>
      <c r="C520" s="440">
        <v>0.49</v>
      </c>
      <c r="D520" s="569"/>
    </row>
    <row r="521" spans="1:4" ht="15.5" hidden="1" x14ac:dyDescent="0.35">
      <c r="A521" s="439">
        <v>1680000</v>
      </c>
      <c r="B521" s="903">
        <v>0.49</v>
      </c>
      <c r="C521" s="440">
        <v>0.49</v>
      </c>
      <c r="D521" s="569"/>
    </row>
    <row r="522" spans="1:4" ht="15.5" hidden="1" x14ac:dyDescent="0.35">
      <c r="A522" s="439">
        <v>1685000</v>
      </c>
      <c r="B522" s="903">
        <v>0.49</v>
      </c>
      <c r="C522" s="440">
        <v>0.49</v>
      </c>
      <c r="D522" s="569"/>
    </row>
    <row r="523" spans="1:4" ht="15.5" hidden="1" x14ac:dyDescent="0.35">
      <c r="A523" s="439">
        <v>1690000</v>
      </c>
      <c r="B523" s="903">
        <v>0.49</v>
      </c>
      <c r="C523" s="440">
        <v>0.49</v>
      </c>
      <c r="D523" s="569"/>
    </row>
    <row r="524" spans="1:4" ht="15.5" hidden="1" x14ac:dyDescent="0.35">
      <c r="A524" s="439">
        <v>1695000</v>
      </c>
      <c r="B524" s="903">
        <v>0.49</v>
      </c>
      <c r="C524" s="440">
        <v>0.49</v>
      </c>
      <c r="D524" s="569"/>
    </row>
    <row r="525" spans="1:4" ht="15.5" hidden="1" x14ac:dyDescent="0.35">
      <c r="A525" s="439">
        <v>1700000</v>
      </c>
      <c r="B525" s="903">
        <v>0.49</v>
      </c>
      <c r="C525" s="440">
        <v>0.49</v>
      </c>
      <c r="D525" s="569"/>
    </row>
    <row r="526" spans="1:4" ht="15.5" hidden="1" x14ac:dyDescent="0.35">
      <c r="A526" s="439">
        <v>1705000</v>
      </c>
      <c r="B526" s="903">
        <v>0.49</v>
      </c>
      <c r="C526" s="440">
        <v>0.49</v>
      </c>
      <c r="D526" s="569"/>
    </row>
    <row r="527" spans="1:4" ht="15.5" hidden="1" x14ac:dyDescent="0.35">
      <c r="A527" s="439">
        <v>1710000</v>
      </c>
      <c r="B527" s="903">
        <v>0.49</v>
      </c>
      <c r="C527" s="440">
        <v>0.49</v>
      </c>
      <c r="D527" s="569"/>
    </row>
    <row r="528" spans="1:4" ht="15.5" hidden="1" x14ac:dyDescent="0.35">
      <c r="A528" s="439">
        <v>1715000</v>
      </c>
      <c r="B528" s="903">
        <v>0.49</v>
      </c>
      <c r="C528" s="440">
        <v>0.49</v>
      </c>
      <c r="D528" s="569"/>
    </row>
    <row r="529" spans="1:4" ht="15.5" hidden="1" x14ac:dyDescent="0.35">
      <c r="A529" s="439">
        <v>1720000</v>
      </c>
      <c r="B529" s="903">
        <v>0.49</v>
      </c>
      <c r="C529" s="440">
        <v>0.49</v>
      </c>
      <c r="D529" s="569"/>
    </row>
    <row r="530" spans="1:4" ht="15.5" hidden="1" x14ac:dyDescent="0.35">
      <c r="A530" s="439">
        <v>1725000</v>
      </c>
      <c r="B530" s="903">
        <v>0.49</v>
      </c>
      <c r="C530" s="440">
        <v>0.49</v>
      </c>
      <c r="D530" s="569"/>
    </row>
    <row r="531" spans="1:4" ht="15.5" hidden="1" x14ac:dyDescent="0.35">
      <c r="A531" s="439">
        <v>1730000</v>
      </c>
      <c r="B531" s="903">
        <v>0.49</v>
      </c>
      <c r="C531" s="440">
        <v>0.49</v>
      </c>
      <c r="D531" s="569"/>
    </row>
    <row r="532" spans="1:4" ht="15.5" hidden="1" x14ac:dyDescent="0.35">
      <c r="A532" s="439">
        <v>1735000</v>
      </c>
      <c r="B532" s="903">
        <v>0.49</v>
      </c>
      <c r="C532" s="440">
        <v>0.49</v>
      </c>
      <c r="D532" s="569"/>
    </row>
    <row r="533" spans="1:4" ht="15.5" hidden="1" x14ac:dyDescent="0.35">
      <c r="A533" s="439">
        <v>1740000</v>
      </c>
      <c r="B533" s="903">
        <v>0.49</v>
      </c>
      <c r="C533" s="440">
        <v>0.49</v>
      </c>
      <c r="D533" s="569"/>
    </row>
    <row r="534" spans="1:4" ht="15.5" hidden="1" x14ac:dyDescent="0.35">
      <c r="A534" s="439">
        <v>1745000</v>
      </c>
      <c r="B534" s="903">
        <v>0.49</v>
      </c>
      <c r="C534" s="440">
        <v>0.49</v>
      </c>
      <c r="D534" s="569"/>
    </row>
    <row r="535" spans="1:4" ht="15.5" hidden="1" x14ac:dyDescent="0.35">
      <c r="A535" s="439">
        <v>1750000</v>
      </c>
      <c r="B535" s="903">
        <v>0.49</v>
      </c>
      <c r="C535" s="440">
        <v>0.49</v>
      </c>
      <c r="D535" s="569"/>
    </row>
    <row r="536" spans="1:4" ht="15.5" hidden="1" x14ac:dyDescent="0.35">
      <c r="A536" s="439">
        <v>1755000</v>
      </c>
      <c r="B536" s="903">
        <v>0.49</v>
      </c>
      <c r="C536" s="440">
        <v>0.49</v>
      </c>
      <c r="D536" s="569"/>
    </row>
    <row r="537" spans="1:4" ht="15.5" hidden="1" x14ac:dyDescent="0.35">
      <c r="A537" s="439">
        <v>1760000</v>
      </c>
      <c r="B537" s="903">
        <v>0.49</v>
      </c>
      <c r="C537" s="440">
        <v>0.49</v>
      </c>
      <c r="D537" s="569"/>
    </row>
    <row r="538" spans="1:4" ht="15.5" hidden="1" x14ac:dyDescent="0.35">
      <c r="A538" s="439">
        <v>1765000</v>
      </c>
      <c r="B538" s="903">
        <v>0.49</v>
      </c>
      <c r="C538" s="440">
        <v>0.49</v>
      </c>
      <c r="D538" s="569"/>
    </row>
    <row r="539" spans="1:4" ht="15.5" hidden="1" x14ac:dyDescent="0.35">
      <c r="A539" s="439">
        <v>1770000</v>
      </c>
      <c r="B539" s="903">
        <v>0.49</v>
      </c>
      <c r="C539" s="440">
        <v>0.49</v>
      </c>
      <c r="D539" s="569"/>
    </row>
    <row r="540" spans="1:4" ht="15.5" hidden="1" x14ac:dyDescent="0.35">
      <c r="A540" s="439">
        <v>1775000</v>
      </c>
      <c r="B540" s="903">
        <v>0.49</v>
      </c>
      <c r="C540" s="440">
        <v>0.49</v>
      </c>
      <c r="D540" s="569"/>
    </row>
    <row r="541" spans="1:4" ht="15.5" hidden="1" x14ac:dyDescent="0.35">
      <c r="A541" s="439">
        <v>1780000</v>
      </c>
      <c r="B541" s="903">
        <v>0.49</v>
      </c>
      <c r="C541" s="440">
        <v>0.49</v>
      </c>
      <c r="D541" s="569"/>
    </row>
    <row r="542" spans="1:4" ht="15.5" hidden="1" x14ac:dyDescent="0.35">
      <c r="A542" s="439">
        <v>1785000</v>
      </c>
      <c r="B542" s="903">
        <v>0.49</v>
      </c>
      <c r="C542" s="440">
        <v>0.49</v>
      </c>
      <c r="D542" s="569"/>
    </row>
    <row r="543" spans="1:4" ht="15.5" hidden="1" x14ac:dyDescent="0.35">
      <c r="A543" s="439">
        <v>1790000</v>
      </c>
      <c r="B543" s="903">
        <v>0.49</v>
      </c>
      <c r="C543" s="440">
        <v>0.49</v>
      </c>
      <c r="D543" s="569"/>
    </row>
    <row r="544" spans="1:4" ht="15.5" hidden="1" x14ac:dyDescent="0.35">
      <c r="A544" s="439">
        <v>1795000</v>
      </c>
      <c r="B544" s="903">
        <v>0.49</v>
      </c>
      <c r="C544" s="440">
        <v>0.49</v>
      </c>
      <c r="D544" s="569"/>
    </row>
    <row r="545" spans="1:4" ht="15.5" hidden="1" x14ac:dyDescent="0.35">
      <c r="A545" s="439">
        <v>1800000</v>
      </c>
      <c r="B545" s="903">
        <v>0.49</v>
      </c>
      <c r="C545" s="440">
        <v>0.49</v>
      </c>
      <c r="D545" s="569"/>
    </row>
    <row r="546" spans="1:4" ht="15.5" hidden="1" x14ac:dyDescent="0.35">
      <c r="A546" s="439">
        <v>1805000</v>
      </c>
      <c r="B546" s="903">
        <v>0.49</v>
      </c>
      <c r="C546" s="440">
        <v>0.49</v>
      </c>
      <c r="D546" s="569"/>
    </row>
    <row r="547" spans="1:4" ht="15.5" hidden="1" x14ac:dyDescent="0.35">
      <c r="A547" s="439">
        <v>1810000</v>
      </c>
      <c r="B547" s="903">
        <v>0.49</v>
      </c>
      <c r="C547" s="440">
        <v>0.49</v>
      </c>
      <c r="D547" s="569"/>
    </row>
    <row r="548" spans="1:4" ht="15.5" hidden="1" x14ac:dyDescent="0.35">
      <c r="A548" s="439">
        <v>1815000</v>
      </c>
      <c r="B548" s="903">
        <v>0.49</v>
      </c>
      <c r="C548" s="440">
        <v>0.49</v>
      </c>
      <c r="D548" s="569"/>
    </row>
    <row r="549" spans="1:4" ht="15.5" hidden="1" x14ac:dyDescent="0.35">
      <c r="A549" s="439">
        <v>1820000</v>
      </c>
      <c r="B549" s="903">
        <v>0.49</v>
      </c>
      <c r="C549" s="440">
        <v>0.49</v>
      </c>
      <c r="D549" s="569"/>
    </row>
    <row r="550" spans="1:4" ht="15.5" hidden="1" x14ac:dyDescent="0.35">
      <c r="A550" s="439">
        <v>1825000</v>
      </c>
      <c r="B550" s="903">
        <v>0.49</v>
      </c>
      <c r="C550" s="440">
        <v>0.49</v>
      </c>
      <c r="D550" s="569"/>
    </row>
    <row r="551" spans="1:4" ht="15.5" hidden="1" x14ac:dyDescent="0.35">
      <c r="A551" s="439">
        <v>1830000</v>
      </c>
      <c r="B551" s="903">
        <v>0.49</v>
      </c>
      <c r="C551" s="440">
        <v>0.49</v>
      </c>
      <c r="D551" s="569"/>
    </row>
    <row r="552" spans="1:4" ht="15.5" hidden="1" x14ac:dyDescent="0.35">
      <c r="A552" s="439">
        <v>1835000</v>
      </c>
      <c r="B552" s="903">
        <v>0.49</v>
      </c>
      <c r="C552" s="440">
        <v>0.49</v>
      </c>
      <c r="D552" s="569"/>
    </row>
    <row r="553" spans="1:4" ht="15.5" hidden="1" x14ac:dyDescent="0.35">
      <c r="A553" s="439">
        <v>1840000</v>
      </c>
      <c r="B553" s="903">
        <v>0.49</v>
      </c>
      <c r="C553" s="440">
        <v>0.49</v>
      </c>
      <c r="D553" s="569"/>
    </row>
    <row r="554" spans="1:4" ht="15.5" hidden="1" x14ac:dyDescent="0.35">
      <c r="A554" s="439">
        <v>1845000</v>
      </c>
      <c r="B554" s="903">
        <v>0.49</v>
      </c>
      <c r="C554" s="440">
        <v>0.49</v>
      </c>
      <c r="D554" s="569"/>
    </row>
    <row r="555" spans="1:4" ht="15.5" hidden="1" x14ac:dyDescent="0.35">
      <c r="A555" s="439">
        <v>1850000</v>
      </c>
      <c r="B555" s="903">
        <v>0.49</v>
      </c>
      <c r="C555" s="440">
        <v>0.49</v>
      </c>
      <c r="D555" s="569"/>
    </row>
    <row r="556" spans="1:4" ht="15.5" hidden="1" x14ac:dyDescent="0.35">
      <c r="A556" s="439">
        <v>1855000</v>
      </c>
      <c r="B556" s="903">
        <v>0.49</v>
      </c>
      <c r="C556" s="440">
        <v>0.49</v>
      </c>
      <c r="D556" s="569"/>
    </row>
    <row r="557" spans="1:4" ht="15.5" hidden="1" x14ac:dyDescent="0.35">
      <c r="A557" s="439">
        <v>1860000</v>
      </c>
      <c r="B557" s="903">
        <v>0.49</v>
      </c>
      <c r="C557" s="440">
        <v>0.49</v>
      </c>
      <c r="D557" s="569"/>
    </row>
    <row r="558" spans="1:4" ht="15.5" hidden="1" x14ac:dyDescent="0.35">
      <c r="A558" s="439">
        <v>1865000</v>
      </c>
      <c r="B558" s="903">
        <v>0.49</v>
      </c>
      <c r="C558" s="440">
        <v>0.49</v>
      </c>
      <c r="D558" s="569"/>
    </row>
    <row r="559" spans="1:4" ht="15.5" hidden="1" x14ac:dyDescent="0.35">
      <c r="A559" s="439">
        <v>1870000</v>
      </c>
      <c r="B559" s="903">
        <v>0.49</v>
      </c>
      <c r="C559" s="440">
        <v>0.49</v>
      </c>
      <c r="D559" s="569"/>
    </row>
    <row r="560" spans="1:4" ht="15.5" hidden="1" x14ac:dyDescent="0.35">
      <c r="A560" s="439">
        <v>1875000</v>
      </c>
      <c r="B560" s="903">
        <v>0.49</v>
      </c>
      <c r="C560" s="440">
        <v>0.49</v>
      </c>
      <c r="D560" s="569"/>
    </row>
    <row r="561" spans="1:4" ht="15.5" hidden="1" x14ac:dyDescent="0.35">
      <c r="A561" s="439">
        <v>1880000</v>
      </c>
      <c r="B561" s="903">
        <v>0.49</v>
      </c>
      <c r="C561" s="440">
        <v>0.49</v>
      </c>
      <c r="D561" s="569"/>
    </row>
    <row r="562" spans="1:4" ht="15.5" hidden="1" x14ac:dyDescent="0.35">
      <c r="A562" s="439">
        <v>1885000</v>
      </c>
      <c r="B562" s="903">
        <v>0.49</v>
      </c>
      <c r="C562" s="440">
        <v>0.49</v>
      </c>
      <c r="D562" s="569"/>
    </row>
    <row r="563" spans="1:4" ht="15.5" hidden="1" x14ac:dyDescent="0.35">
      <c r="A563" s="439">
        <v>1890000</v>
      </c>
      <c r="B563" s="903">
        <v>0.49</v>
      </c>
      <c r="C563" s="440">
        <v>0.49</v>
      </c>
      <c r="D563" s="569"/>
    </row>
    <row r="564" spans="1:4" ht="15.5" hidden="1" x14ac:dyDescent="0.35">
      <c r="A564" s="439">
        <v>1895000</v>
      </c>
      <c r="B564" s="903">
        <v>0.49</v>
      </c>
      <c r="C564" s="440">
        <v>0.49</v>
      </c>
      <c r="D564" s="569"/>
    </row>
    <row r="565" spans="1:4" ht="15.5" hidden="1" x14ac:dyDescent="0.35">
      <c r="A565" s="439">
        <v>1900000</v>
      </c>
      <c r="B565" s="903">
        <v>0.49</v>
      </c>
      <c r="C565" s="440">
        <v>0.49</v>
      </c>
      <c r="D565" s="569"/>
    </row>
    <row r="566" spans="1:4" ht="15.5" hidden="1" x14ac:dyDescent="0.35">
      <c r="A566" s="439">
        <v>1905000</v>
      </c>
      <c r="B566" s="903">
        <v>0.49</v>
      </c>
      <c r="C566" s="440">
        <v>0.49</v>
      </c>
      <c r="D566" s="569"/>
    </row>
    <row r="567" spans="1:4" ht="15.5" hidden="1" x14ac:dyDescent="0.35">
      <c r="A567" s="439">
        <v>1910000</v>
      </c>
      <c r="B567" s="903">
        <v>0.49</v>
      </c>
      <c r="C567" s="440">
        <v>0.49</v>
      </c>
      <c r="D567" s="569"/>
    </row>
    <row r="568" spans="1:4" ht="15.5" hidden="1" x14ac:dyDescent="0.35">
      <c r="A568" s="439">
        <v>1915000</v>
      </c>
      <c r="B568" s="903">
        <v>0.49</v>
      </c>
      <c r="C568" s="440">
        <v>0.49</v>
      </c>
      <c r="D568" s="569"/>
    </row>
    <row r="569" spans="1:4" ht="15.5" hidden="1" x14ac:dyDescent="0.35">
      <c r="A569" s="439">
        <v>1920000</v>
      </c>
      <c r="B569" s="903">
        <v>0.49</v>
      </c>
      <c r="C569" s="440">
        <v>0.49</v>
      </c>
      <c r="D569" s="569"/>
    </row>
    <row r="570" spans="1:4" ht="15.5" hidden="1" x14ac:dyDescent="0.35">
      <c r="A570" s="439">
        <v>1925000</v>
      </c>
      <c r="B570" s="903">
        <v>0.49</v>
      </c>
      <c r="C570" s="440">
        <v>0.49</v>
      </c>
      <c r="D570" s="569"/>
    </row>
    <row r="571" spans="1:4" ht="15.5" hidden="1" x14ac:dyDescent="0.35">
      <c r="A571" s="439">
        <v>1930000</v>
      </c>
      <c r="B571" s="903">
        <v>0.49</v>
      </c>
      <c r="C571" s="440">
        <v>0.49</v>
      </c>
      <c r="D571" s="569"/>
    </row>
    <row r="572" spans="1:4" ht="15.5" hidden="1" x14ac:dyDescent="0.35">
      <c r="A572" s="439">
        <v>1935000</v>
      </c>
      <c r="B572" s="903">
        <v>0.49</v>
      </c>
      <c r="C572" s="440">
        <v>0.49</v>
      </c>
      <c r="D572" s="569"/>
    </row>
    <row r="573" spans="1:4" ht="15.5" hidden="1" x14ac:dyDescent="0.35">
      <c r="A573" s="439">
        <v>1940000</v>
      </c>
      <c r="B573" s="903">
        <v>0.49</v>
      </c>
      <c r="C573" s="440">
        <v>0.49</v>
      </c>
      <c r="D573" s="569"/>
    </row>
    <row r="574" spans="1:4" ht="15.5" hidden="1" x14ac:dyDescent="0.35">
      <c r="A574" s="439">
        <v>1945000</v>
      </c>
      <c r="B574" s="903">
        <v>0.49</v>
      </c>
      <c r="C574" s="440">
        <v>0.49</v>
      </c>
      <c r="D574" s="569"/>
    </row>
    <row r="575" spans="1:4" ht="15.5" hidden="1" x14ac:dyDescent="0.35">
      <c r="A575" s="439">
        <v>1950000</v>
      </c>
      <c r="B575" s="903">
        <v>0.49</v>
      </c>
      <c r="C575" s="440">
        <v>0.49</v>
      </c>
      <c r="D575" s="569"/>
    </row>
    <row r="576" spans="1:4" ht="15.5" hidden="1" x14ac:dyDescent="0.35">
      <c r="A576" s="439">
        <v>1955000</v>
      </c>
      <c r="B576" s="903">
        <v>0.49</v>
      </c>
      <c r="C576" s="440">
        <v>0.49</v>
      </c>
      <c r="D576" s="569"/>
    </row>
    <row r="577" spans="1:4" ht="15.5" hidden="1" x14ac:dyDescent="0.35">
      <c r="A577" s="439">
        <v>1960000</v>
      </c>
      <c r="B577" s="903">
        <v>0.49</v>
      </c>
      <c r="C577" s="440">
        <v>0.49</v>
      </c>
      <c r="D577" s="569"/>
    </row>
    <row r="578" spans="1:4" ht="15.5" hidden="1" x14ac:dyDescent="0.35">
      <c r="A578" s="439">
        <v>1965000</v>
      </c>
      <c r="B578" s="903">
        <v>0.49</v>
      </c>
      <c r="C578" s="440">
        <v>0.49</v>
      </c>
      <c r="D578" s="569"/>
    </row>
    <row r="579" spans="1:4" ht="15.5" hidden="1" x14ac:dyDescent="0.35">
      <c r="A579" s="439">
        <v>1970000</v>
      </c>
      <c r="B579" s="903">
        <v>0.49</v>
      </c>
      <c r="C579" s="440">
        <v>0.49</v>
      </c>
      <c r="D579" s="569"/>
    </row>
    <row r="580" spans="1:4" ht="15.5" hidden="1" x14ac:dyDescent="0.35">
      <c r="A580" s="439">
        <v>1975000</v>
      </c>
      <c r="B580" s="903">
        <v>0.49</v>
      </c>
      <c r="C580" s="440">
        <v>0.49</v>
      </c>
      <c r="D580" s="569"/>
    </row>
    <row r="581" spans="1:4" ht="15.5" hidden="1" x14ac:dyDescent="0.35">
      <c r="A581" s="439">
        <v>1980000</v>
      </c>
      <c r="B581" s="903">
        <v>0.49</v>
      </c>
      <c r="C581" s="440">
        <v>0.49</v>
      </c>
      <c r="D581" s="569"/>
    </row>
    <row r="582" spans="1:4" ht="15.5" hidden="1" x14ac:dyDescent="0.35">
      <c r="A582" s="439">
        <v>1985000</v>
      </c>
      <c r="B582" s="903">
        <v>0.49</v>
      </c>
      <c r="C582" s="440">
        <v>0.49</v>
      </c>
      <c r="D582" s="569"/>
    </row>
    <row r="583" spans="1:4" ht="15.5" hidden="1" x14ac:dyDescent="0.35">
      <c r="A583" s="439">
        <v>1990000</v>
      </c>
      <c r="B583" s="903">
        <v>0.49</v>
      </c>
      <c r="C583" s="440">
        <v>0.49</v>
      </c>
      <c r="D583" s="569"/>
    </row>
    <row r="584" spans="1:4" ht="15.5" hidden="1" x14ac:dyDescent="0.35">
      <c r="A584" s="439">
        <v>1995000</v>
      </c>
      <c r="B584" s="903">
        <v>0.49</v>
      </c>
      <c r="C584" s="440">
        <v>0.49</v>
      </c>
      <c r="D584" s="569"/>
    </row>
    <row r="585" spans="1:4" ht="15.5" hidden="1" x14ac:dyDescent="0.35">
      <c r="A585" s="439">
        <v>2000000</v>
      </c>
      <c r="B585" s="903">
        <v>0.49</v>
      </c>
      <c r="C585" s="440">
        <v>0.49</v>
      </c>
      <c r="D585" s="569"/>
    </row>
    <row r="586" spans="1:4" ht="15.5" hidden="1" x14ac:dyDescent="0.35">
      <c r="A586" s="439">
        <v>2005000</v>
      </c>
      <c r="B586" s="903">
        <v>0.49</v>
      </c>
      <c r="C586" s="440">
        <v>0.49</v>
      </c>
      <c r="D586" s="569"/>
    </row>
    <row r="587" spans="1:4" ht="15.5" hidden="1" x14ac:dyDescent="0.35">
      <c r="A587" s="439">
        <v>2010000</v>
      </c>
      <c r="B587" s="903">
        <v>0.49</v>
      </c>
      <c r="C587" s="440">
        <v>0.49</v>
      </c>
      <c r="D587" s="569"/>
    </row>
    <row r="588" spans="1:4" ht="15.5" hidden="1" x14ac:dyDescent="0.35">
      <c r="A588" s="439">
        <v>2015000</v>
      </c>
      <c r="B588" s="903">
        <v>0.49</v>
      </c>
      <c r="C588" s="440">
        <v>0.49</v>
      </c>
      <c r="D588" s="569"/>
    </row>
    <row r="589" spans="1:4" ht="15.5" hidden="1" x14ac:dyDescent="0.35">
      <c r="A589" s="439">
        <v>2020000</v>
      </c>
      <c r="B589" s="903">
        <v>0.49</v>
      </c>
      <c r="C589" s="440">
        <v>0.49</v>
      </c>
      <c r="D589" s="569"/>
    </row>
    <row r="590" spans="1:4" ht="15.5" hidden="1" x14ac:dyDescent="0.35">
      <c r="A590" s="439">
        <v>2025000</v>
      </c>
      <c r="B590" s="903">
        <v>0.49</v>
      </c>
      <c r="C590" s="440">
        <v>0.49</v>
      </c>
      <c r="D590" s="569"/>
    </row>
    <row r="591" spans="1:4" ht="15.5" hidden="1" x14ac:dyDescent="0.35">
      <c r="A591" s="439">
        <v>2030000</v>
      </c>
      <c r="B591" s="903">
        <v>0.49</v>
      </c>
      <c r="C591" s="440">
        <v>0.49</v>
      </c>
      <c r="D591" s="569"/>
    </row>
    <row r="592" spans="1:4" ht="15.5" hidden="1" x14ac:dyDescent="0.35">
      <c r="A592" s="439">
        <v>2035000</v>
      </c>
      <c r="B592" s="903">
        <v>0.49</v>
      </c>
      <c r="C592" s="440">
        <v>0.49</v>
      </c>
      <c r="D592" s="569"/>
    </row>
    <row r="593" spans="1:4" ht="15.5" hidden="1" x14ac:dyDescent="0.35">
      <c r="A593" s="439">
        <v>2040000</v>
      </c>
      <c r="B593" s="903">
        <v>0.49</v>
      </c>
      <c r="C593" s="440">
        <v>0.49</v>
      </c>
      <c r="D593" s="569"/>
    </row>
    <row r="594" spans="1:4" ht="15.5" hidden="1" x14ac:dyDescent="0.35">
      <c r="A594" s="439">
        <v>2045000</v>
      </c>
      <c r="B594" s="903">
        <v>0.49</v>
      </c>
      <c r="C594" s="440">
        <v>0.49</v>
      </c>
      <c r="D594" s="569"/>
    </row>
    <row r="595" spans="1:4" ht="15.5" hidden="1" x14ac:dyDescent="0.35">
      <c r="A595" s="439">
        <v>2050000</v>
      </c>
      <c r="B595" s="903">
        <v>0.49</v>
      </c>
      <c r="C595" s="440">
        <v>0.49</v>
      </c>
      <c r="D595" s="569"/>
    </row>
    <row r="596" spans="1:4" ht="15.5" hidden="1" x14ac:dyDescent="0.35">
      <c r="A596" s="439">
        <v>2055000</v>
      </c>
      <c r="B596" s="903">
        <v>0.49</v>
      </c>
      <c r="C596" s="440">
        <v>0.49</v>
      </c>
      <c r="D596" s="569"/>
    </row>
    <row r="597" spans="1:4" ht="15.5" hidden="1" x14ac:dyDescent="0.35">
      <c r="A597" s="439">
        <v>2060000</v>
      </c>
      <c r="B597" s="903">
        <v>0.49</v>
      </c>
      <c r="C597" s="440">
        <v>0.49</v>
      </c>
      <c r="D597" s="569"/>
    </row>
    <row r="598" spans="1:4" ht="15.5" hidden="1" x14ac:dyDescent="0.35">
      <c r="A598" s="439">
        <v>2065000</v>
      </c>
      <c r="B598" s="903">
        <v>0.49</v>
      </c>
      <c r="C598" s="440">
        <v>0.49</v>
      </c>
      <c r="D598" s="569"/>
    </row>
    <row r="599" spans="1:4" ht="15.5" hidden="1" x14ac:dyDescent="0.35">
      <c r="A599" s="439">
        <v>2070000</v>
      </c>
      <c r="B599" s="903">
        <v>0.49</v>
      </c>
      <c r="C599" s="440">
        <v>0.49</v>
      </c>
      <c r="D599" s="569"/>
    </row>
    <row r="600" spans="1:4" ht="15.5" hidden="1" x14ac:dyDescent="0.35">
      <c r="A600" s="439">
        <v>2075000</v>
      </c>
      <c r="B600" s="903">
        <v>0.49</v>
      </c>
      <c r="C600" s="440">
        <v>0.49</v>
      </c>
      <c r="D600" s="569"/>
    </row>
    <row r="601" spans="1:4" ht="15.5" hidden="1" x14ac:dyDescent="0.35">
      <c r="A601" s="439">
        <v>2080000</v>
      </c>
      <c r="B601" s="903">
        <v>0.49</v>
      </c>
      <c r="C601" s="440">
        <v>0.49</v>
      </c>
      <c r="D601" s="569"/>
    </row>
    <row r="602" spans="1:4" ht="15.5" hidden="1" x14ac:dyDescent="0.35">
      <c r="A602" s="439">
        <v>2085000</v>
      </c>
      <c r="B602" s="903">
        <v>0.49</v>
      </c>
      <c r="C602" s="440">
        <v>0.49</v>
      </c>
      <c r="D602" s="569"/>
    </row>
    <row r="603" spans="1:4" ht="15.5" hidden="1" x14ac:dyDescent="0.35">
      <c r="A603" s="439">
        <v>2090000</v>
      </c>
      <c r="B603" s="903">
        <v>0.49</v>
      </c>
      <c r="C603" s="440">
        <v>0.49</v>
      </c>
      <c r="D603" s="569"/>
    </row>
    <row r="604" spans="1:4" ht="15.5" hidden="1" x14ac:dyDescent="0.35">
      <c r="A604" s="439">
        <v>2095000</v>
      </c>
      <c r="B604" s="903">
        <v>0.49</v>
      </c>
      <c r="C604" s="440">
        <v>0.49</v>
      </c>
      <c r="D604" s="569"/>
    </row>
    <row r="605" spans="1:4" ht="15.5" hidden="1" x14ac:dyDescent="0.35">
      <c r="A605" s="439">
        <v>2100000</v>
      </c>
      <c r="B605" s="903">
        <v>0.49</v>
      </c>
      <c r="C605" s="440">
        <v>0.49</v>
      </c>
      <c r="D605" s="569"/>
    </row>
    <row r="606" spans="1:4" ht="15.5" hidden="1" x14ac:dyDescent="0.35">
      <c r="A606" s="439">
        <v>2105000</v>
      </c>
      <c r="B606" s="903">
        <v>0.49</v>
      </c>
      <c r="C606" s="440">
        <v>0.49</v>
      </c>
      <c r="D606" s="569"/>
    </row>
    <row r="607" spans="1:4" ht="15.5" hidden="1" x14ac:dyDescent="0.35">
      <c r="A607" s="439">
        <v>2110000</v>
      </c>
      <c r="B607" s="903">
        <v>0.49</v>
      </c>
      <c r="C607" s="440">
        <v>0.49</v>
      </c>
      <c r="D607" s="569"/>
    </row>
    <row r="608" spans="1:4" ht="15.5" hidden="1" x14ac:dyDescent="0.35">
      <c r="A608" s="439">
        <v>2115000</v>
      </c>
      <c r="B608" s="903">
        <v>0.49</v>
      </c>
      <c r="C608" s="440">
        <v>0.49</v>
      </c>
      <c r="D608" s="569"/>
    </row>
    <row r="609" spans="1:4" ht="15.5" hidden="1" x14ac:dyDescent="0.35">
      <c r="A609" s="439">
        <v>2120000</v>
      </c>
      <c r="B609" s="903">
        <v>0.49</v>
      </c>
      <c r="C609" s="440">
        <v>0.49</v>
      </c>
      <c r="D609" s="569"/>
    </row>
    <row r="610" spans="1:4" ht="15.5" hidden="1" x14ac:dyDescent="0.35">
      <c r="A610" s="439">
        <v>2125000</v>
      </c>
      <c r="B610" s="903">
        <v>0.49</v>
      </c>
      <c r="C610" s="440">
        <v>0.49</v>
      </c>
      <c r="D610" s="569"/>
    </row>
    <row r="611" spans="1:4" ht="15.5" hidden="1" x14ac:dyDescent="0.35">
      <c r="A611" s="439">
        <v>2130000</v>
      </c>
      <c r="B611" s="903">
        <v>0.49</v>
      </c>
      <c r="C611" s="440">
        <v>0.49</v>
      </c>
      <c r="D611" s="569"/>
    </row>
    <row r="612" spans="1:4" ht="15.5" hidden="1" x14ac:dyDescent="0.35">
      <c r="A612" s="439">
        <v>2135000</v>
      </c>
      <c r="B612" s="903">
        <v>0.49</v>
      </c>
      <c r="C612" s="440">
        <v>0.49</v>
      </c>
      <c r="D612" s="569"/>
    </row>
    <row r="613" spans="1:4" ht="15.5" hidden="1" x14ac:dyDescent="0.35">
      <c r="A613" s="439">
        <v>2140000</v>
      </c>
      <c r="B613" s="903">
        <v>0.49</v>
      </c>
      <c r="C613" s="440">
        <v>0.49</v>
      </c>
      <c r="D613" s="569"/>
    </row>
    <row r="614" spans="1:4" ht="15.5" hidden="1" x14ac:dyDescent="0.35">
      <c r="A614" s="439">
        <v>2145000</v>
      </c>
      <c r="B614" s="903">
        <v>0.49</v>
      </c>
      <c r="C614" s="440">
        <v>0.49</v>
      </c>
      <c r="D614" s="569"/>
    </row>
    <row r="615" spans="1:4" ht="15.5" hidden="1" x14ac:dyDescent="0.35">
      <c r="A615" s="439">
        <v>2150000</v>
      </c>
      <c r="B615" s="903">
        <v>0.49</v>
      </c>
      <c r="C615" s="440">
        <v>0.49</v>
      </c>
      <c r="D615" s="569"/>
    </row>
    <row r="616" spans="1:4" ht="15.5" hidden="1" x14ac:dyDescent="0.35">
      <c r="A616" s="439">
        <v>2155000</v>
      </c>
      <c r="B616" s="903">
        <v>0.49</v>
      </c>
      <c r="C616" s="440">
        <v>0.49</v>
      </c>
      <c r="D616" s="569"/>
    </row>
    <row r="617" spans="1:4" ht="15.5" hidden="1" x14ac:dyDescent="0.35">
      <c r="A617" s="439">
        <v>2160000</v>
      </c>
      <c r="B617" s="903">
        <v>0.49</v>
      </c>
      <c r="C617" s="440">
        <v>0.49</v>
      </c>
      <c r="D617" s="569"/>
    </row>
    <row r="618" spans="1:4" ht="15.5" hidden="1" x14ac:dyDescent="0.35">
      <c r="A618" s="439">
        <v>2165000</v>
      </c>
      <c r="B618" s="903">
        <v>0.49</v>
      </c>
      <c r="C618" s="440">
        <v>0.49</v>
      </c>
      <c r="D618" s="569"/>
    </row>
    <row r="619" spans="1:4" ht="15.5" hidden="1" x14ac:dyDescent="0.35">
      <c r="A619" s="439">
        <v>2170000</v>
      </c>
      <c r="B619" s="903">
        <v>0.49</v>
      </c>
      <c r="C619" s="440">
        <v>0.49</v>
      </c>
      <c r="D619" s="569"/>
    </row>
    <row r="620" spans="1:4" ht="15.5" hidden="1" x14ac:dyDescent="0.35">
      <c r="A620" s="439">
        <v>2175000</v>
      </c>
      <c r="B620" s="903">
        <v>0.49</v>
      </c>
      <c r="C620" s="440">
        <v>0.49</v>
      </c>
      <c r="D620" s="569"/>
    </row>
    <row r="621" spans="1:4" ht="15.5" hidden="1" x14ac:dyDescent="0.35">
      <c r="A621" s="439">
        <v>2180000</v>
      </c>
      <c r="B621" s="903">
        <v>0.49</v>
      </c>
      <c r="C621" s="440">
        <v>0.49</v>
      </c>
      <c r="D621" s="569"/>
    </row>
    <row r="622" spans="1:4" ht="15.5" hidden="1" x14ac:dyDescent="0.35">
      <c r="A622" s="439">
        <v>2185000</v>
      </c>
      <c r="B622" s="903">
        <v>0.49</v>
      </c>
      <c r="C622" s="440">
        <v>0.49</v>
      </c>
      <c r="D622" s="569"/>
    </row>
    <row r="623" spans="1:4" ht="15.5" hidden="1" x14ac:dyDescent="0.35">
      <c r="A623" s="439">
        <v>2190000</v>
      </c>
      <c r="B623" s="903">
        <v>0.49</v>
      </c>
      <c r="C623" s="440">
        <v>0.49</v>
      </c>
      <c r="D623" s="569"/>
    </row>
    <row r="624" spans="1:4" ht="15.5" hidden="1" x14ac:dyDescent="0.35">
      <c r="A624" s="439">
        <v>2195000</v>
      </c>
      <c r="B624" s="903">
        <v>0.49</v>
      </c>
      <c r="C624" s="440">
        <v>0.49</v>
      </c>
      <c r="D624" s="569"/>
    </row>
    <row r="625" spans="1:4" ht="15.5" hidden="1" x14ac:dyDescent="0.35">
      <c r="A625" s="439">
        <v>2200000</v>
      </c>
      <c r="B625" s="903">
        <v>0.49</v>
      </c>
      <c r="C625" s="440">
        <v>0.49</v>
      </c>
      <c r="D625" s="569"/>
    </row>
    <row r="626" spans="1:4" ht="15.5" hidden="1" x14ac:dyDescent="0.35">
      <c r="A626" s="439">
        <v>2205000</v>
      </c>
      <c r="B626" s="903">
        <v>0.49</v>
      </c>
      <c r="C626" s="440">
        <v>0.49</v>
      </c>
      <c r="D626" s="569"/>
    </row>
    <row r="627" spans="1:4" ht="15.5" hidden="1" x14ac:dyDescent="0.35">
      <c r="A627" s="439">
        <v>2210000</v>
      </c>
      <c r="B627" s="903">
        <v>0.49</v>
      </c>
      <c r="C627" s="440">
        <v>0.49</v>
      </c>
      <c r="D627" s="569"/>
    </row>
    <row r="628" spans="1:4" ht="15.5" hidden="1" x14ac:dyDescent="0.35">
      <c r="A628" s="439">
        <v>2215000</v>
      </c>
      <c r="B628" s="903">
        <v>0.49</v>
      </c>
      <c r="C628" s="440">
        <v>0.49</v>
      </c>
      <c r="D628" s="569"/>
    </row>
    <row r="629" spans="1:4" ht="15.5" hidden="1" x14ac:dyDescent="0.35">
      <c r="A629" s="439">
        <v>2220000</v>
      </c>
      <c r="B629" s="903">
        <v>0.49</v>
      </c>
      <c r="C629" s="440">
        <v>0.49</v>
      </c>
      <c r="D629" s="569"/>
    </row>
    <row r="630" spans="1:4" ht="15.5" hidden="1" x14ac:dyDescent="0.35">
      <c r="A630" s="439">
        <v>2225000</v>
      </c>
      <c r="B630" s="903">
        <v>0.49</v>
      </c>
      <c r="C630" s="440">
        <v>0.49</v>
      </c>
      <c r="D630" s="569"/>
    </row>
    <row r="631" spans="1:4" ht="15.5" hidden="1" x14ac:dyDescent="0.35">
      <c r="A631" s="439">
        <v>2230000</v>
      </c>
      <c r="B631" s="903">
        <v>0.49</v>
      </c>
      <c r="C631" s="440">
        <v>0.49</v>
      </c>
      <c r="D631" s="569"/>
    </row>
    <row r="632" spans="1:4" ht="15.5" hidden="1" x14ac:dyDescent="0.35">
      <c r="A632" s="439">
        <v>2235000</v>
      </c>
      <c r="B632" s="903">
        <v>0.49</v>
      </c>
      <c r="C632" s="440">
        <v>0.49</v>
      </c>
      <c r="D632" s="569"/>
    </row>
    <row r="633" spans="1:4" ht="15.5" hidden="1" x14ac:dyDescent="0.35">
      <c r="A633" s="439">
        <v>2240000</v>
      </c>
      <c r="B633" s="903">
        <v>0.49</v>
      </c>
      <c r="C633" s="440">
        <v>0.49</v>
      </c>
      <c r="D633" s="569"/>
    </row>
    <row r="634" spans="1:4" ht="15.5" hidden="1" x14ac:dyDescent="0.35">
      <c r="A634" s="439">
        <v>2245000</v>
      </c>
      <c r="B634" s="903">
        <v>0.49</v>
      </c>
      <c r="C634" s="440">
        <v>0.49</v>
      </c>
      <c r="D634" s="569"/>
    </row>
    <row r="635" spans="1:4" ht="15.5" hidden="1" x14ac:dyDescent="0.35">
      <c r="A635" s="439">
        <v>2250000</v>
      </c>
      <c r="B635" s="903">
        <v>0.49</v>
      </c>
      <c r="C635" s="440">
        <v>0.49</v>
      </c>
      <c r="D635" s="569"/>
    </row>
    <row r="636" spans="1:4" ht="15.5" hidden="1" x14ac:dyDescent="0.35">
      <c r="A636" s="439">
        <v>2255000</v>
      </c>
      <c r="B636" s="903">
        <v>0.49</v>
      </c>
      <c r="C636" s="440">
        <v>0.49</v>
      </c>
      <c r="D636" s="569"/>
    </row>
    <row r="637" spans="1:4" ht="15.5" hidden="1" x14ac:dyDescent="0.35">
      <c r="A637" s="439">
        <v>2260000</v>
      </c>
      <c r="B637" s="903">
        <v>0.49</v>
      </c>
      <c r="C637" s="440">
        <v>0.49</v>
      </c>
      <c r="D637" s="569"/>
    </row>
    <row r="638" spans="1:4" ht="15.5" hidden="1" x14ac:dyDescent="0.35">
      <c r="A638" s="439">
        <v>2265000</v>
      </c>
      <c r="B638" s="903">
        <v>0.49</v>
      </c>
      <c r="C638" s="440">
        <v>0.49</v>
      </c>
      <c r="D638" s="569"/>
    </row>
    <row r="639" spans="1:4" ht="15.5" hidden="1" x14ac:dyDescent="0.35">
      <c r="A639" s="439">
        <v>2270000</v>
      </c>
      <c r="B639" s="903">
        <v>0.49</v>
      </c>
      <c r="C639" s="440">
        <v>0.49</v>
      </c>
      <c r="D639" s="569"/>
    </row>
    <row r="640" spans="1:4" ht="15.5" hidden="1" x14ac:dyDescent="0.35">
      <c r="A640" s="439">
        <v>2275000</v>
      </c>
      <c r="B640" s="903">
        <v>0.49</v>
      </c>
      <c r="C640" s="440">
        <v>0.49</v>
      </c>
      <c r="D640" s="569"/>
    </row>
    <row r="641" spans="1:4" ht="15.5" hidden="1" x14ac:dyDescent="0.35">
      <c r="A641" s="439">
        <v>2280000</v>
      </c>
      <c r="B641" s="903">
        <v>0.49</v>
      </c>
      <c r="C641" s="440">
        <v>0.49</v>
      </c>
      <c r="D641" s="569"/>
    </row>
    <row r="642" spans="1:4" ht="15.5" hidden="1" x14ac:dyDescent="0.35">
      <c r="A642" s="439">
        <v>2285000</v>
      </c>
      <c r="B642" s="903">
        <v>0.49</v>
      </c>
      <c r="C642" s="440">
        <v>0.49</v>
      </c>
      <c r="D642" s="569"/>
    </row>
    <row r="643" spans="1:4" ht="15.5" hidden="1" x14ac:dyDescent="0.35">
      <c r="A643" s="439">
        <v>2290000</v>
      </c>
      <c r="B643" s="903">
        <v>0.49</v>
      </c>
      <c r="C643" s="440">
        <v>0.49</v>
      </c>
      <c r="D643" s="569"/>
    </row>
    <row r="644" spans="1:4" ht="15.5" hidden="1" x14ac:dyDescent="0.35">
      <c r="A644" s="439">
        <v>2295000</v>
      </c>
      <c r="B644" s="903">
        <v>0.49</v>
      </c>
      <c r="C644" s="440">
        <v>0.49</v>
      </c>
      <c r="D644" s="569"/>
    </row>
    <row r="645" spans="1:4" ht="15.5" hidden="1" x14ac:dyDescent="0.35">
      <c r="A645" s="439">
        <v>2300000</v>
      </c>
      <c r="B645" s="903">
        <v>0.49</v>
      </c>
      <c r="C645" s="440">
        <v>0.49</v>
      </c>
      <c r="D645" s="569"/>
    </row>
    <row r="646" spans="1:4" ht="15.5" hidden="1" x14ac:dyDescent="0.35">
      <c r="A646" s="439">
        <v>2305000</v>
      </c>
      <c r="B646" s="903">
        <v>0.49</v>
      </c>
      <c r="C646" s="440">
        <v>0.49</v>
      </c>
      <c r="D646" s="569"/>
    </row>
    <row r="647" spans="1:4" ht="15.5" hidden="1" x14ac:dyDescent="0.35">
      <c r="A647" s="439">
        <v>2310000</v>
      </c>
      <c r="B647" s="903">
        <v>0.49</v>
      </c>
      <c r="C647" s="440">
        <v>0.49</v>
      </c>
      <c r="D647" s="569"/>
    </row>
    <row r="648" spans="1:4" ht="15.5" hidden="1" x14ac:dyDescent="0.35">
      <c r="A648" s="439">
        <v>2315000</v>
      </c>
      <c r="B648" s="903">
        <v>0.49</v>
      </c>
      <c r="C648" s="440">
        <v>0.49</v>
      </c>
      <c r="D648" s="569"/>
    </row>
    <row r="649" spans="1:4" ht="15.5" hidden="1" x14ac:dyDescent="0.35">
      <c r="A649" s="439">
        <v>2320000</v>
      </c>
      <c r="B649" s="903">
        <v>0.49</v>
      </c>
      <c r="C649" s="440">
        <v>0.49</v>
      </c>
      <c r="D649" s="569"/>
    </row>
    <row r="650" spans="1:4" ht="15.5" hidden="1" x14ac:dyDescent="0.35">
      <c r="A650" s="439">
        <v>2325000</v>
      </c>
      <c r="B650" s="903">
        <v>0.49</v>
      </c>
      <c r="C650" s="440">
        <v>0.49</v>
      </c>
      <c r="D650" s="569"/>
    </row>
    <row r="651" spans="1:4" ht="15.5" hidden="1" x14ac:dyDescent="0.35">
      <c r="A651" s="439">
        <v>2330000</v>
      </c>
      <c r="B651" s="903">
        <v>0.49</v>
      </c>
      <c r="C651" s="440">
        <v>0.49</v>
      </c>
      <c r="D651" s="569"/>
    </row>
    <row r="652" spans="1:4" ht="15.5" hidden="1" x14ac:dyDescent="0.35">
      <c r="A652" s="439">
        <v>2335000</v>
      </c>
      <c r="B652" s="903">
        <v>0.49</v>
      </c>
      <c r="C652" s="440">
        <v>0.49</v>
      </c>
      <c r="D652" s="569"/>
    </row>
    <row r="653" spans="1:4" ht="15.5" hidden="1" x14ac:dyDescent="0.35">
      <c r="A653" s="439">
        <v>2340000</v>
      </c>
      <c r="B653" s="903">
        <v>0.49</v>
      </c>
      <c r="C653" s="440">
        <v>0.49</v>
      </c>
      <c r="D653" s="569"/>
    </row>
    <row r="654" spans="1:4" ht="15.5" hidden="1" x14ac:dyDescent="0.35">
      <c r="A654" s="439">
        <v>2345000</v>
      </c>
      <c r="B654" s="903">
        <v>0.49</v>
      </c>
      <c r="C654" s="440">
        <v>0.49</v>
      </c>
      <c r="D654" s="569"/>
    </row>
    <row r="655" spans="1:4" ht="15.5" hidden="1" x14ac:dyDescent="0.35">
      <c r="A655" s="439">
        <v>2350000</v>
      </c>
      <c r="B655" s="903">
        <v>0.49</v>
      </c>
      <c r="C655" s="440">
        <v>0.49</v>
      </c>
      <c r="D655" s="569"/>
    </row>
    <row r="656" spans="1:4" ht="15.5" hidden="1" x14ac:dyDescent="0.35">
      <c r="A656" s="439">
        <v>2355000</v>
      </c>
      <c r="B656" s="903">
        <v>0.49</v>
      </c>
      <c r="C656" s="440">
        <v>0.49</v>
      </c>
      <c r="D656" s="569"/>
    </row>
    <row r="657" spans="1:4" ht="15.5" hidden="1" x14ac:dyDescent="0.35">
      <c r="A657" s="439">
        <v>2360000</v>
      </c>
      <c r="B657" s="903">
        <v>0.49</v>
      </c>
      <c r="C657" s="440">
        <v>0.49</v>
      </c>
      <c r="D657" s="569"/>
    </row>
    <row r="658" spans="1:4" ht="15.5" hidden="1" x14ac:dyDescent="0.35">
      <c r="A658" s="439">
        <v>2365000</v>
      </c>
      <c r="B658" s="903">
        <v>0.49</v>
      </c>
      <c r="C658" s="440">
        <v>0.49</v>
      </c>
      <c r="D658" s="569"/>
    </row>
    <row r="659" spans="1:4" ht="15.5" hidden="1" x14ac:dyDescent="0.35">
      <c r="A659" s="439">
        <v>2370000</v>
      </c>
      <c r="B659" s="903">
        <v>0.49</v>
      </c>
      <c r="C659" s="440">
        <v>0.49</v>
      </c>
      <c r="D659" s="569"/>
    </row>
    <row r="660" spans="1:4" ht="15.5" hidden="1" x14ac:dyDescent="0.35">
      <c r="A660" s="439">
        <v>2375000</v>
      </c>
      <c r="B660" s="903">
        <v>0.49</v>
      </c>
      <c r="C660" s="440">
        <v>0.49</v>
      </c>
      <c r="D660" s="569"/>
    </row>
    <row r="661" spans="1:4" ht="15.5" hidden="1" x14ac:dyDescent="0.35">
      <c r="A661" s="439">
        <v>2380000</v>
      </c>
      <c r="B661" s="903">
        <v>0.49</v>
      </c>
      <c r="C661" s="440">
        <v>0.49</v>
      </c>
      <c r="D661" s="569"/>
    </row>
    <row r="662" spans="1:4" ht="15.5" hidden="1" x14ac:dyDescent="0.35">
      <c r="A662" s="439">
        <v>2385000</v>
      </c>
      <c r="B662" s="903">
        <v>0.49</v>
      </c>
      <c r="C662" s="440">
        <v>0.49</v>
      </c>
      <c r="D662" s="569"/>
    </row>
    <row r="663" spans="1:4" ht="15.5" hidden="1" x14ac:dyDescent="0.35">
      <c r="A663" s="439">
        <v>2390000</v>
      </c>
      <c r="B663" s="903">
        <v>0.49</v>
      </c>
      <c r="C663" s="440">
        <v>0.49</v>
      </c>
      <c r="D663" s="569"/>
    </row>
    <row r="664" spans="1:4" ht="15.5" hidden="1" x14ac:dyDescent="0.35">
      <c r="A664" s="439">
        <v>2395000</v>
      </c>
      <c r="B664" s="903">
        <v>0.49</v>
      </c>
      <c r="C664" s="440">
        <v>0.49</v>
      </c>
      <c r="D664" s="569"/>
    </row>
    <row r="665" spans="1:4" ht="15.5" hidden="1" x14ac:dyDescent="0.35">
      <c r="A665" s="439">
        <v>2400000</v>
      </c>
      <c r="B665" s="903">
        <v>0.49</v>
      </c>
      <c r="C665" s="440">
        <v>0.49</v>
      </c>
      <c r="D665" s="569"/>
    </row>
    <row r="666" spans="1:4" ht="15.5" hidden="1" x14ac:dyDescent="0.35">
      <c r="A666" s="439">
        <v>2405000</v>
      </c>
      <c r="B666" s="903">
        <v>0.49</v>
      </c>
      <c r="C666" s="440">
        <v>0.49</v>
      </c>
      <c r="D666" s="569"/>
    </row>
    <row r="667" spans="1:4" ht="15.5" hidden="1" x14ac:dyDescent="0.35">
      <c r="A667" s="439">
        <v>2410000</v>
      </c>
      <c r="B667" s="903">
        <v>0.49</v>
      </c>
      <c r="C667" s="440">
        <v>0.49</v>
      </c>
      <c r="D667" s="569"/>
    </row>
    <row r="668" spans="1:4" ht="15.5" hidden="1" x14ac:dyDescent="0.35">
      <c r="A668" s="439">
        <v>2415000</v>
      </c>
      <c r="B668" s="903">
        <v>0.49</v>
      </c>
      <c r="C668" s="440">
        <v>0.49</v>
      </c>
      <c r="D668" s="569"/>
    </row>
    <row r="669" spans="1:4" ht="15.5" hidden="1" x14ac:dyDescent="0.35">
      <c r="A669" s="439">
        <v>2420000</v>
      </c>
      <c r="B669" s="903">
        <v>0.49</v>
      </c>
      <c r="C669" s="440">
        <v>0.49</v>
      </c>
      <c r="D669" s="569"/>
    </row>
    <row r="670" spans="1:4" ht="15.5" hidden="1" x14ac:dyDescent="0.35">
      <c r="A670" s="439">
        <v>2425000</v>
      </c>
      <c r="B670" s="903">
        <v>0.49</v>
      </c>
      <c r="C670" s="440">
        <v>0.49</v>
      </c>
      <c r="D670" s="569"/>
    </row>
    <row r="671" spans="1:4" ht="15.5" hidden="1" x14ac:dyDescent="0.35">
      <c r="A671" s="439">
        <v>2430000</v>
      </c>
      <c r="B671" s="903">
        <v>0.49</v>
      </c>
      <c r="C671" s="440">
        <v>0.49</v>
      </c>
      <c r="D671" s="569"/>
    </row>
    <row r="672" spans="1:4" ht="15.5" hidden="1" x14ac:dyDescent="0.35">
      <c r="A672" s="439">
        <v>2435000</v>
      </c>
      <c r="B672" s="903">
        <v>0.49</v>
      </c>
      <c r="C672" s="440">
        <v>0.49</v>
      </c>
      <c r="D672" s="569"/>
    </row>
    <row r="673" spans="1:4" ht="15.5" hidden="1" x14ac:dyDescent="0.35">
      <c r="A673" s="439">
        <v>2440000</v>
      </c>
      <c r="B673" s="903">
        <v>0.49</v>
      </c>
      <c r="C673" s="440">
        <v>0.49</v>
      </c>
      <c r="D673" s="569"/>
    </row>
    <row r="674" spans="1:4" ht="15.5" hidden="1" x14ac:dyDescent="0.35">
      <c r="A674" s="439">
        <v>2445000</v>
      </c>
      <c r="B674" s="903">
        <v>0.49</v>
      </c>
      <c r="C674" s="440">
        <v>0.49</v>
      </c>
      <c r="D674" s="569"/>
    </row>
    <row r="675" spans="1:4" ht="15.5" hidden="1" x14ac:dyDescent="0.35">
      <c r="A675" s="439">
        <v>2450000</v>
      </c>
      <c r="B675" s="903">
        <v>0.49</v>
      </c>
      <c r="C675" s="440">
        <v>0.49</v>
      </c>
      <c r="D675" s="569"/>
    </row>
    <row r="676" spans="1:4" ht="15.5" hidden="1" x14ac:dyDescent="0.35">
      <c r="A676" s="439">
        <v>2455000</v>
      </c>
      <c r="B676" s="903">
        <v>0.49</v>
      </c>
      <c r="C676" s="440">
        <v>0.49</v>
      </c>
      <c r="D676" s="569"/>
    </row>
    <row r="677" spans="1:4" ht="15.5" hidden="1" x14ac:dyDescent="0.35">
      <c r="A677" s="439">
        <v>2460000</v>
      </c>
      <c r="B677" s="903">
        <v>0.49</v>
      </c>
      <c r="C677" s="440">
        <v>0.49</v>
      </c>
      <c r="D677" s="569"/>
    </row>
    <row r="678" spans="1:4" ht="15.5" hidden="1" x14ac:dyDescent="0.35">
      <c r="A678" s="439">
        <v>2465000</v>
      </c>
      <c r="B678" s="903">
        <v>0.49</v>
      </c>
      <c r="C678" s="440">
        <v>0.49</v>
      </c>
      <c r="D678" s="569"/>
    </row>
    <row r="679" spans="1:4" ht="15.5" hidden="1" x14ac:dyDescent="0.35">
      <c r="A679" s="439">
        <v>2470000</v>
      </c>
      <c r="B679" s="903">
        <v>0.49</v>
      </c>
      <c r="C679" s="440">
        <v>0.49</v>
      </c>
      <c r="D679" s="569"/>
    </row>
    <row r="680" spans="1:4" ht="15.5" hidden="1" x14ac:dyDescent="0.35">
      <c r="A680" s="439">
        <v>2475000</v>
      </c>
      <c r="B680" s="903">
        <v>0.49</v>
      </c>
      <c r="C680" s="440">
        <v>0.49</v>
      </c>
      <c r="D680" s="569"/>
    </row>
    <row r="681" spans="1:4" ht="15.5" hidden="1" x14ac:dyDescent="0.35">
      <c r="A681" s="439">
        <v>2480000</v>
      </c>
      <c r="B681" s="903">
        <v>0.49</v>
      </c>
      <c r="C681" s="440">
        <v>0.49</v>
      </c>
      <c r="D681" s="569"/>
    </row>
    <row r="682" spans="1:4" ht="15.5" hidden="1" x14ac:dyDescent="0.35">
      <c r="A682" s="439">
        <v>2485000</v>
      </c>
      <c r="B682" s="903">
        <v>0.49</v>
      </c>
      <c r="C682" s="440">
        <v>0.49</v>
      </c>
      <c r="D682" s="569"/>
    </row>
    <row r="683" spans="1:4" ht="15.5" hidden="1" x14ac:dyDescent="0.35">
      <c r="A683" s="439">
        <v>2490000</v>
      </c>
      <c r="B683" s="903">
        <v>0.49</v>
      </c>
      <c r="C683" s="440">
        <v>0.49</v>
      </c>
      <c r="D683" s="569"/>
    </row>
    <row r="684" spans="1:4" ht="15.5" hidden="1" x14ac:dyDescent="0.35">
      <c r="A684" s="439">
        <v>2495000</v>
      </c>
      <c r="B684" s="903">
        <v>0.49</v>
      </c>
      <c r="C684" s="440">
        <v>0.49</v>
      </c>
      <c r="D684" s="569"/>
    </row>
    <row r="685" spans="1:4" ht="15.5" hidden="1" x14ac:dyDescent="0.35">
      <c r="A685" s="439">
        <v>2500000</v>
      </c>
      <c r="B685" s="903">
        <v>0.49</v>
      </c>
      <c r="C685" s="440">
        <v>0.49</v>
      </c>
      <c r="D685" s="569"/>
    </row>
    <row r="686" spans="1:4" ht="15.5" hidden="1" x14ac:dyDescent="0.35">
      <c r="A686" s="439">
        <v>2505000</v>
      </c>
      <c r="B686" s="903">
        <v>0.49</v>
      </c>
      <c r="C686" s="440">
        <v>0.49</v>
      </c>
      <c r="D686" s="569"/>
    </row>
    <row r="687" spans="1:4" ht="15.5" hidden="1" x14ac:dyDescent="0.35">
      <c r="A687" s="439">
        <v>2510000</v>
      </c>
      <c r="B687" s="903">
        <v>0.49</v>
      </c>
      <c r="C687" s="440">
        <v>0.49</v>
      </c>
      <c r="D687" s="569"/>
    </row>
    <row r="688" spans="1:4" ht="15.5" hidden="1" x14ac:dyDescent="0.35">
      <c r="A688" s="439">
        <v>2515000</v>
      </c>
      <c r="B688" s="903">
        <v>0.49</v>
      </c>
      <c r="C688" s="440">
        <v>0.49</v>
      </c>
      <c r="D688" s="569"/>
    </row>
    <row r="689" spans="1:4" ht="15.5" hidden="1" x14ac:dyDescent="0.35">
      <c r="A689" s="439">
        <v>2520000</v>
      </c>
      <c r="B689" s="903">
        <v>0.49</v>
      </c>
      <c r="C689" s="440">
        <v>0.49</v>
      </c>
      <c r="D689" s="569"/>
    </row>
    <row r="690" spans="1:4" ht="15.5" hidden="1" x14ac:dyDescent="0.35">
      <c r="A690" s="439">
        <v>2525000</v>
      </c>
      <c r="B690" s="903">
        <v>0.49</v>
      </c>
      <c r="C690" s="440">
        <v>0.49</v>
      </c>
      <c r="D690" s="569"/>
    </row>
    <row r="691" spans="1:4" ht="15.5" hidden="1" x14ac:dyDescent="0.35">
      <c r="A691" s="439">
        <v>2530000</v>
      </c>
      <c r="B691" s="903">
        <v>0.49</v>
      </c>
      <c r="C691" s="440">
        <v>0.49</v>
      </c>
      <c r="D691" s="569"/>
    </row>
    <row r="692" spans="1:4" ht="15.5" hidden="1" x14ac:dyDescent="0.35">
      <c r="A692" s="439">
        <v>2535000</v>
      </c>
      <c r="B692" s="903">
        <v>0.49</v>
      </c>
      <c r="C692" s="440">
        <v>0.49</v>
      </c>
      <c r="D692" s="569"/>
    </row>
    <row r="693" spans="1:4" ht="15.5" hidden="1" x14ac:dyDescent="0.35">
      <c r="A693" s="439">
        <v>2540000</v>
      </c>
      <c r="B693" s="903">
        <v>0.49</v>
      </c>
      <c r="C693" s="440">
        <v>0.49</v>
      </c>
      <c r="D693" s="569"/>
    </row>
    <row r="694" spans="1:4" ht="15.5" hidden="1" x14ac:dyDescent="0.35">
      <c r="A694" s="439">
        <v>2545000</v>
      </c>
      <c r="B694" s="903">
        <v>0.49</v>
      </c>
      <c r="C694" s="440">
        <v>0.49</v>
      </c>
      <c r="D694" s="569"/>
    </row>
    <row r="695" spans="1:4" ht="15.5" hidden="1" x14ac:dyDescent="0.35">
      <c r="A695" s="439">
        <v>2550000</v>
      </c>
      <c r="B695" s="903">
        <v>0.49</v>
      </c>
      <c r="C695" s="440">
        <v>0.49</v>
      </c>
      <c r="D695" s="569"/>
    </row>
    <row r="696" spans="1:4" ht="15.5" hidden="1" x14ac:dyDescent="0.35">
      <c r="A696" s="439">
        <v>2555000</v>
      </c>
      <c r="B696" s="903">
        <v>0.49</v>
      </c>
      <c r="C696" s="440">
        <v>0.49</v>
      </c>
      <c r="D696" s="569"/>
    </row>
    <row r="697" spans="1:4" ht="15.5" hidden="1" x14ac:dyDescent="0.35">
      <c r="A697" s="439">
        <v>2560000</v>
      </c>
      <c r="B697" s="903">
        <v>0.49</v>
      </c>
      <c r="C697" s="440">
        <v>0.49</v>
      </c>
      <c r="D697" s="569"/>
    </row>
    <row r="698" spans="1:4" ht="15.5" hidden="1" x14ac:dyDescent="0.35">
      <c r="A698" s="439">
        <v>2565000</v>
      </c>
      <c r="B698" s="903">
        <v>0.49</v>
      </c>
      <c r="C698" s="440">
        <v>0.49</v>
      </c>
      <c r="D698" s="569"/>
    </row>
    <row r="699" spans="1:4" ht="15.5" hidden="1" x14ac:dyDescent="0.35">
      <c r="A699" s="439">
        <v>2570000</v>
      </c>
      <c r="B699" s="903">
        <v>0.49</v>
      </c>
      <c r="C699" s="440">
        <v>0.49</v>
      </c>
      <c r="D699" s="569"/>
    </row>
    <row r="700" spans="1:4" ht="15.5" hidden="1" x14ac:dyDescent="0.35">
      <c r="A700" s="439">
        <v>2575000</v>
      </c>
      <c r="B700" s="903">
        <v>0.49</v>
      </c>
      <c r="C700" s="440">
        <v>0.49</v>
      </c>
      <c r="D700" s="569"/>
    </row>
    <row r="701" spans="1:4" ht="15.5" hidden="1" x14ac:dyDescent="0.35">
      <c r="A701" s="439">
        <v>2580000</v>
      </c>
      <c r="B701" s="903">
        <v>0.49</v>
      </c>
      <c r="C701" s="440">
        <v>0.49</v>
      </c>
      <c r="D701" s="569"/>
    </row>
    <row r="702" spans="1:4" ht="15.5" hidden="1" x14ac:dyDescent="0.35">
      <c r="A702" s="439">
        <v>2585000</v>
      </c>
      <c r="B702" s="903">
        <v>0.49</v>
      </c>
      <c r="C702" s="440">
        <v>0.49</v>
      </c>
      <c r="D702" s="569"/>
    </row>
    <row r="703" spans="1:4" ht="15.5" hidden="1" x14ac:dyDescent="0.35">
      <c r="A703" s="439">
        <v>2590000</v>
      </c>
      <c r="B703" s="903">
        <v>0.49</v>
      </c>
      <c r="C703" s="440">
        <v>0.49</v>
      </c>
      <c r="D703" s="569"/>
    </row>
    <row r="704" spans="1:4" ht="15.5" hidden="1" x14ac:dyDescent="0.35">
      <c r="A704" s="439">
        <v>2595000</v>
      </c>
      <c r="B704" s="903">
        <v>0.49</v>
      </c>
      <c r="C704" s="440">
        <v>0.49</v>
      </c>
      <c r="D704" s="569"/>
    </row>
    <row r="705" spans="1:4" ht="15.5" hidden="1" x14ac:dyDescent="0.35">
      <c r="A705" s="439">
        <v>2600000</v>
      </c>
      <c r="B705" s="903">
        <v>0.49</v>
      </c>
      <c r="C705" s="440">
        <v>0.49</v>
      </c>
      <c r="D705" s="569"/>
    </row>
    <row r="706" spans="1:4" ht="15.5" hidden="1" x14ac:dyDescent="0.35">
      <c r="A706" s="439">
        <v>2605000</v>
      </c>
      <c r="B706" s="903">
        <v>0.49</v>
      </c>
      <c r="C706" s="440">
        <v>0.49</v>
      </c>
      <c r="D706" s="569"/>
    </row>
    <row r="707" spans="1:4" ht="15.5" hidden="1" x14ac:dyDescent="0.35">
      <c r="A707" s="439">
        <v>2610000</v>
      </c>
      <c r="B707" s="903">
        <v>0.49</v>
      </c>
      <c r="C707" s="440">
        <v>0.49</v>
      </c>
      <c r="D707" s="569"/>
    </row>
    <row r="708" spans="1:4" ht="15.5" hidden="1" x14ac:dyDescent="0.35">
      <c r="A708" s="439">
        <v>2615000</v>
      </c>
      <c r="B708" s="903">
        <v>0.49</v>
      </c>
      <c r="C708" s="440">
        <v>0.49</v>
      </c>
      <c r="D708" s="569"/>
    </row>
    <row r="709" spans="1:4" ht="15.5" hidden="1" x14ac:dyDescent="0.35">
      <c r="A709" s="439">
        <v>2620000</v>
      </c>
      <c r="B709" s="903">
        <v>0.49</v>
      </c>
      <c r="C709" s="440">
        <v>0.49</v>
      </c>
      <c r="D709" s="569"/>
    </row>
    <row r="710" spans="1:4" ht="15.5" hidden="1" x14ac:dyDescent="0.35">
      <c r="A710" s="439">
        <v>2625000</v>
      </c>
      <c r="B710" s="903">
        <v>0.49</v>
      </c>
      <c r="C710" s="440">
        <v>0.49</v>
      </c>
      <c r="D710" s="569"/>
    </row>
    <row r="711" spans="1:4" ht="15.5" hidden="1" x14ac:dyDescent="0.35">
      <c r="A711" s="439">
        <v>2630000</v>
      </c>
      <c r="B711" s="903">
        <v>0.49</v>
      </c>
      <c r="C711" s="440">
        <v>0.49</v>
      </c>
      <c r="D711" s="569"/>
    </row>
    <row r="712" spans="1:4" ht="15.5" hidden="1" x14ac:dyDescent="0.35">
      <c r="A712" s="439">
        <v>2635000</v>
      </c>
      <c r="B712" s="903">
        <v>0.49</v>
      </c>
      <c r="C712" s="440">
        <v>0.49</v>
      </c>
      <c r="D712" s="569"/>
    </row>
    <row r="713" spans="1:4" ht="15.5" hidden="1" x14ac:dyDescent="0.35">
      <c r="A713" s="439">
        <v>2640000</v>
      </c>
      <c r="B713" s="903">
        <v>0.49</v>
      </c>
      <c r="C713" s="440">
        <v>0.49</v>
      </c>
      <c r="D713" s="569"/>
    </row>
    <row r="714" spans="1:4" ht="15.5" hidden="1" x14ac:dyDescent="0.35">
      <c r="A714" s="439">
        <v>2645000</v>
      </c>
      <c r="B714" s="903">
        <v>0.49</v>
      </c>
      <c r="C714" s="440">
        <v>0.49</v>
      </c>
      <c r="D714" s="569"/>
    </row>
    <row r="715" spans="1:4" ht="15.5" hidden="1" x14ac:dyDescent="0.35">
      <c r="A715" s="439">
        <v>2650000</v>
      </c>
      <c r="B715" s="903">
        <v>0.49</v>
      </c>
      <c r="C715" s="440">
        <v>0.49</v>
      </c>
      <c r="D715" s="569"/>
    </row>
    <row r="716" spans="1:4" ht="15.5" hidden="1" x14ac:dyDescent="0.35">
      <c r="A716" s="439">
        <v>2655000</v>
      </c>
      <c r="B716" s="903">
        <v>0.49</v>
      </c>
      <c r="C716" s="440">
        <v>0.49</v>
      </c>
      <c r="D716" s="569"/>
    </row>
    <row r="717" spans="1:4" ht="15.5" hidden="1" x14ac:dyDescent="0.35">
      <c r="A717" s="439">
        <v>2660000</v>
      </c>
      <c r="B717" s="903">
        <v>0.49</v>
      </c>
      <c r="C717" s="440">
        <v>0.49</v>
      </c>
      <c r="D717" s="569"/>
    </row>
    <row r="718" spans="1:4" ht="15.5" hidden="1" x14ac:dyDescent="0.35">
      <c r="A718" s="439">
        <v>2665000</v>
      </c>
      <c r="B718" s="903">
        <v>0.49</v>
      </c>
      <c r="C718" s="440">
        <v>0.49</v>
      </c>
      <c r="D718" s="569"/>
    </row>
    <row r="719" spans="1:4" ht="15.5" hidden="1" x14ac:dyDescent="0.35">
      <c r="A719" s="439">
        <v>2670000</v>
      </c>
      <c r="B719" s="903">
        <v>0.49</v>
      </c>
      <c r="C719" s="440">
        <v>0.49</v>
      </c>
      <c r="D719" s="569"/>
    </row>
    <row r="720" spans="1:4" ht="15.5" hidden="1" x14ac:dyDescent="0.35">
      <c r="A720" s="439">
        <v>2675000</v>
      </c>
      <c r="B720" s="903">
        <v>0.49</v>
      </c>
      <c r="C720" s="440">
        <v>0.49</v>
      </c>
      <c r="D720" s="569"/>
    </row>
    <row r="721" spans="1:4" ht="15.5" hidden="1" x14ac:dyDescent="0.35">
      <c r="A721" s="439">
        <v>2680000</v>
      </c>
      <c r="B721" s="903">
        <v>0.49</v>
      </c>
      <c r="C721" s="440">
        <v>0.49</v>
      </c>
      <c r="D721" s="569"/>
    </row>
    <row r="722" spans="1:4" ht="15.5" hidden="1" x14ac:dyDescent="0.35">
      <c r="A722" s="439">
        <v>2685000</v>
      </c>
      <c r="B722" s="903">
        <v>0.49</v>
      </c>
      <c r="C722" s="440">
        <v>0.49</v>
      </c>
      <c r="D722" s="569"/>
    </row>
    <row r="723" spans="1:4" ht="15.5" hidden="1" x14ac:dyDescent="0.35">
      <c r="A723" s="439">
        <v>2690000</v>
      </c>
      <c r="B723" s="903">
        <v>0.49</v>
      </c>
      <c r="C723" s="440">
        <v>0.49</v>
      </c>
      <c r="D723" s="569"/>
    </row>
    <row r="724" spans="1:4" ht="15.5" hidden="1" x14ac:dyDescent="0.35">
      <c r="A724" s="439">
        <v>2695000</v>
      </c>
      <c r="B724" s="903">
        <v>0.49</v>
      </c>
      <c r="C724" s="440">
        <v>0.49</v>
      </c>
      <c r="D724" s="569"/>
    </row>
    <row r="725" spans="1:4" ht="15.5" hidden="1" x14ac:dyDescent="0.35">
      <c r="A725" s="439">
        <v>2700000</v>
      </c>
      <c r="B725" s="903">
        <v>0.48</v>
      </c>
      <c r="C725" s="440">
        <v>0.49</v>
      </c>
      <c r="D725" s="569"/>
    </row>
    <row r="726" spans="1:4" ht="15.5" hidden="1" x14ac:dyDescent="0.35">
      <c r="A726" s="439">
        <v>2705000</v>
      </c>
      <c r="B726" s="903">
        <v>0.48</v>
      </c>
      <c r="C726" s="440">
        <v>0.49</v>
      </c>
      <c r="D726" s="569"/>
    </row>
    <row r="727" spans="1:4" ht="15.5" hidden="1" x14ac:dyDescent="0.35">
      <c r="A727" s="439">
        <v>2710000</v>
      </c>
      <c r="B727" s="903">
        <v>0.48</v>
      </c>
      <c r="C727" s="440">
        <v>0.49</v>
      </c>
      <c r="D727" s="569"/>
    </row>
    <row r="728" spans="1:4" ht="15.5" hidden="1" x14ac:dyDescent="0.35">
      <c r="A728" s="439">
        <v>2715000</v>
      </c>
      <c r="B728" s="903">
        <v>0.48</v>
      </c>
      <c r="C728" s="440">
        <v>0.49</v>
      </c>
      <c r="D728" s="569"/>
    </row>
    <row r="729" spans="1:4" ht="15.5" hidden="1" x14ac:dyDescent="0.35">
      <c r="A729" s="439">
        <v>2720000</v>
      </c>
      <c r="B729" s="903">
        <v>0.48</v>
      </c>
      <c r="C729" s="440">
        <v>0.49</v>
      </c>
      <c r="D729" s="569"/>
    </row>
    <row r="730" spans="1:4" ht="15.5" hidden="1" x14ac:dyDescent="0.35">
      <c r="A730" s="439">
        <v>2725000</v>
      </c>
      <c r="B730" s="903">
        <v>0.48</v>
      </c>
      <c r="C730" s="440">
        <v>0.49</v>
      </c>
      <c r="D730" s="569"/>
    </row>
    <row r="731" spans="1:4" ht="15.5" hidden="1" x14ac:dyDescent="0.35">
      <c r="A731" s="439">
        <v>2730000</v>
      </c>
      <c r="B731" s="903">
        <v>0.48</v>
      </c>
      <c r="C731" s="440">
        <v>0.49</v>
      </c>
      <c r="D731" s="569"/>
    </row>
    <row r="732" spans="1:4" ht="15.5" hidden="1" x14ac:dyDescent="0.35">
      <c r="A732" s="439">
        <v>2735000</v>
      </c>
      <c r="B732" s="903">
        <v>0.48</v>
      </c>
      <c r="C732" s="440">
        <v>0.49</v>
      </c>
      <c r="D732" s="569"/>
    </row>
    <row r="733" spans="1:4" ht="15.5" hidden="1" x14ac:dyDescent="0.35">
      <c r="A733" s="439">
        <v>2740000</v>
      </c>
      <c r="B733" s="903">
        <v>0.48</v>
      </c>
      <c r="C733" s="440">
        <v>0.49</v>
      </c>
      <c r="D733" s="569"/>
    </row>
    <row r="734" spans="1:4" ht="15.5" hidden="1" x14ac:dyDescent="0.35">
      <c r="A734" s="439">
        <v>2745000</v>
      </c>
      <c r="B734" s="903">
        <v>0.48</v>
      </c>
      <c r="C734" s="440">
        <v>0.49</v>
      </c>
      <c r="D734" s="569"/>
    </row>
    <row r="735" spans="1:4" ht="15.5" hidden="1" x14ac:dyDescent="0.35">
      <c r="A735" s="439">
        <v>2750000</v>
      </c>
      <c r="B735" s="903">
        <v>0.48</v>
      </c>
      <c r="C735" s="440">
        <v>0.49</v>
      </c>
      <c r="D735" s="569"/>
    </row>
    <row r="736" spans="1:4" ht="15.5" hidden="1" x14ac:dyDescent="0.35">
      <c r="A736" s="439">
        <v>2755000</v>
      </c>
      <c r="B736" s="903">
        <v>0.48</v>
      </c>
      <c r="C736" s="440">
        <v>0.49</v>
      </c>
      <c r="D736" s="569"/>
    </row>
    <row r="737" spans="1:4" ht="15.5" hidden="1" x14ac:dyDescent="0.35">
      <c r="A737" s="439">
        <v>2760000</v>
      </c>
      <c r="B737" s="903">
        <v>0.48</v>
      </c>
      <c r="C737" s="440">
        <v>0.49</v>
      </c>
      <c r="D737" s="569"/>
    </row>
    <row r="738" spans="1:4" ht="15.5" hidden="1" x14ac:dyDescent="0.35">
      <c r="A738" s="439">
        <v>2765000</v>
      </c>
      <c r="B738" s="903">
        <v>0.48</v>
      </c>
      <c r="C738" s="440">
        <v>0.49</v>
      </c>
      <c r="D738" s="569"/>
    </row>
    <row r="739" spans="1:4" ht="15.5" hidden="1" x14ac:dyDescent="0.35">
      <c r="A739" s="439">
        <v>2770000</v>
      </c>
      <c r="B739" s="903">
        <v>0.48</v>
      </c>
      <c r="C739" s="440">
        <v>0.49</v>
      </c>
      <c r="D739" s="569"/>
    </row>
    <row r="740" spans="1:4" ht="15.5" hidden="1" x14ac:dyDescent="0.35">
      <c r="A740" s="439">
        <v>2775000</v>
      </c>
      <c r="B740" s="903">
        <v>0.48</v>
      </c>
      <c r="C740" s="440">
        <v>0.49</v>
      </c>
      <c r="D740" s="569"/>
    </row>
    <row r="741" spans="1:4" ht="15.5" hidden="1" x14ac:dyDescent="0.35">
      <c r="A741" s="439">
        <v>2780000</v>
      </c>
      <c r="B741" s="903">
        <v>0.48</v>
      </c>
      <c r="C741" s="440">
        <v>0.49</v>
      </c>
      <c r="D741" s="569"/>
    </row>
    <row r="742" spans="1:4" ht="15.5" hidden="1" x14ac:dyDescent="0.35">
      <c r="A742" s="439">
        <v>2785000</v>
      </c>
      <c r="B742" s="903">
        <v>0.48</v>
      </c>
      <c r="C742" s="440">
        <v>0.49</v>
      </c>
      <c r="D742" s="569"/>
    </row>
    <row r="743" spans="1:4" ht="15.5" hidden="1" x14ac:dyDescent="0.35">
      <c r="A743" s="439">
        <v>2790000</v>
      </c>
      <c r="B743" s="903">
        <v>0.48</v>
      </c>
      <c r="C743" s="440">
        <v>0.49</v>
      </c>
      <c r="D743" s="569"/>
    </row>
    <row r="744" spans="1:4" ht="15.5" hidden="1" x14ac:dyDescent="0.35">
      <c r="A744" s="439">
        <v>2795000</v>
      </c>
      <c r="B744" s="903">
        <v>0.48</v>
      </c>
      <c r="C744" s="440">
        <v>0.49</v>
      </c>
      <c r="D744" s="569"/>
    </row>
    <row r="745" spans="1:4" ht="15.5" hidden="1" x14ac:dyDescent="0.35">
      <c r="A745" s="439">
        <v>2800000</v>
      </c>
      <c r="B745" s="903">
        <v>0.48</v>
      </c>
      <c r="C745" s="440">
        <v>0.49</v>
      </c>
      <c r="D745" s="569"/>
    </row>
    <row r="746" spans="1:4" ht="15.5" hidden="1" x14ac:dyDescent="0.35">
      <c r="A746" s="439">
        <v>2805000</v>
      </c>
      <c r="B746" s="903">
        <v>0.48</v>
      </c>
      <c r="C746" s="440">
        <v>0.49</v>
      </c>
      <c r="D746" s="569"/>
    </row>
    <row r="747" spans="1:4" ht="15.5" hidden="1" x14ac:dyDescent="0.35">
      <c r="A747" s="439">
        <v>2810000</v>
      </c>
      <c r="B747" s="903">
        <v>0.48</v>
      </c>
      <c r="C747" s="440">
        <v>0.49</v>
      </c>
      <c r="D747" s="569"/>
    </row>
    <row r="748" spans="1:4" ht="15.5" hidden="1" x14ac:dyDescent="0.35">
      <c r="A748" s="439">
        <v>2815000</v>
      </c>
      <c r="B748" s="903">
        <v>0.48</v>
      </c>
      <c r="C748" s="440">
        <v>0.49</v>
      </c>
      <c r="D748" s="569"/>
    </row>
    <row r="749" spans="1:4" ht="15.5" hidden="1" x14ac:dyDescent="0.35">
      <c r="A749" s="439">
        <v>2820000</v>
      </c>
      <c r="B749" s="903">
        <v>0.48</v>
      </c>
      <c r="C749" s="440">
        <v>0.49</v>
      </c>
      <c r="D749" s="569"/>
    </row>
    <row r="750" spans="1:4" ht="15.5" hidden="1" x14ac:dyDescent="0.35">
      <c r="A750" s="439">
        <v>2825000</v>
      </c>
      <c r="B750" s="903">
        <v>0.48</v>
      </c>
      <c r="C750" s="440">
        <v>0.49</v>
      </c>
      <c r="D750" s="569"/>
    </row>
    <row r="751" spans="1:4" ht="15.5" hidden="1" x14ac:dyDescent="0.35">
      <c r="A751" s="439">
        <v>2830000</v>
      </c>
      <c r="B751" s="903">
        <v>0.48</v>
      </c>
      <c r="C751" s="440">
        <v>0.49</v>
      </c>
      <c r="D751" s="569"/>
    </row>
    <row r="752" spans="1:4" ht="15.5" hidden="1" x14ac:dyDescent="0.35">
      <c r="A752" s="439">
        <v>2835000</v>
      </c>
      <c r="B752" s="903">
        <v>0.48</v>
      </c>
      <c r="C752" s="440">
        <v>0.49</v>
      </c>
      <c r="D752" s="569"/>
    </row>
    <row r="753" spans="1:4" ht="15.5" hidden="1" x14ac:dyDescent="0.35">
      <c r="A753" s="439">
        <v>2840000</v>
      </c>
      <c r="B753" s="903">
        <v>0.48</v>
      </c>
      <c r="C753" s="440">
        <v>0.49</v>
      </c>
      <c r="D753" s="569"/>
    </row>
    <row r="754" spans="1:4" ht="15.5" hidden="1" x14ac:dyDescent="0.35">
      <c r="A754" s="439">
        <v>2845000</v>
      </c>
      <c r="B754" s="903">
        <v>0.48</v>
      </c>
      <c r="C754" s="440">
        <v>0.49</v>
      </c>
      <c r="D754" s="569"/>
    </row>
    <row r="755" spans="1:4" ht="15.5" hidden="1" x14ac:dyDescent="0.35">
      <c r="A755" s="439">
        <v>2850000</v>
      </c>
      <c r="B755" s="903">
        <v>0.48</v>
      </c>
      <c r="C755" s="440">
        <v>0.49</v>
      </c>
      <c r="D755" s="569"/>
    </row>
    <row r="756" spans="1:4" ht="15.5" hidden="1" x14ac:dyDescent="0.35">
      <c r="A756" s="439">
        <v>2855000</v>
      </c>
      <c r="B756" s="903">
        <v>0.48</v>
      </c>
      <c r="C756" s="440">
        <v>0.49</v>
      </c>
      <c r="D756" s="569"/>
    </row>
    <row r="757" spans="1:4" ht="15.5" hidden="1" x14ac:dyDescent="0.35">
      <c r="A757" s="439">
        <v>2860000</v>
      </c>
      <c r="B757" s="903">
        <v>0.48</v>
      </c>
      <c r="C757" s="440">
        <v>0.49</v>
      </c>
      <c r="D757" s="569"/>
    </row>
    <row r="758" spans="1:4" ht="15.5" hidden="1" x14ac:dyDescent="0.35">
      <c r="A758" s="439">
        <v>2865000</v>
      </c>
      <c r="B758" s="903">
        <v>0.48</v>
      </c>
      <c r="C758" s="440">
        <v>0.49</v>
      </c>
      <c r="D758" s="569"/>
    </row>
    <row r="759" spans="1:4" ht="15.5" hidden="1" x14ac:dyDescent="0.35">
      <c r="A759" s="439">
        <v>2870000</v>
      </c>
      <c r="B759" s="903">
        <v>0.48</v>
      </c>
      <c r="C759" s="440">
        <v>0.49</v>
      </c>
      <c r="D759" s="569"/>
    </row>
    <row r="760" spans="1:4" ht="15.5" hidden="1" x14ac:dyDescent="0.35">
      <c r="A760" s="439">
        <v>2875000</v>
      </c>
      <c r="B760" s="903">
        <v>0.48</v>
      </c>
      <c r="C760" s="440">
        <v>0.49</v>
      </c>
      <c r="D760" s="569"/>
    </row>
    <row r="761" spans="1:4" ht="15.5" hidden="1" x14ac:dyDescent="0.35">
      <c r="A761" s="439">
        <v>2880000</v>
      </c>
      <c r="B761" s="903">
        <v>0.48</v>
      </c>
      <c r="C761" s="440">
        <v>0.49</v>
      </c>
      <c r="D761" s="569"/>
    </row>
    <row r="762" spans="1:4" ht="15.5" hidden="1" x14ac:dyDescent="0.35">
      <c r="A762" s="439">
        <v>2885000</v>
      </c>
      <c r="B762" s="903">
        <v>0.48</v>
      </c>
      <c r="C762" s="440">
        <v>0.49</v>
      </c>
      <c r="D762" s="569"/>
    </row>
    <row r="763" spans="1:4" ht="15.5" hidden="1" x14ac:dyDescent="0.35">
      <c r="A763" s="439">
        <v>2890000</v>
      </c>
      <c r="B763" s="903">
        <v>0.48</v>
      </c>
      <c r="C763" s="440">
        <v>0.49</v>
      </c>
      <c r="D763" s="569"/>
    </row>
    <row r="764" spans="1:4" ht="15.5" hidden="1" x14ac:dyDescent="0.35">
      <c r="A764" s="439">
        <v>2895000</v>
      </c>
      <c r="B764" s="903">
        <v>0.48</v>
      </c>
      <c r="C764" s="440">
        <v>0.49</v>
      </c>
      <c r="D764" s="569"/>
    </row>
    <row r="765" spans="1:4" ht="15.5" hidden="1" x14ac:dyDescent="0.35">
      <c r="A765" s="439">
        <v>2900000</v>
      </c>
      <c r="B765" s="903">
        <v>0.48</v>
      </c>
      <c r="C765" s="440">
        <v>0.49</v>
      </c>
      <c r="D765" s="569"/>
    </row>
    <row r="766" spans="1:4" ht="15.5" hidden="1" x14ac:dyDescent="0.35">
      <c r="A766" s="439">
        <v>2905000</v>
      </c>
      <c r="B766" s="903">
        <v>0.48</v>
      </c>
      <c r="C766" s="440">
        <v>0.49</v>
      </c>
      <c r="D766" s="569"/>
    </row>
    <row r="767" spans="1:4" ht="15.5" hidden="1" x14ac:dyDescent="0.35">
      <c r="A767" s="439">
        <v>2910000</v>
      </c>
      <c r="B767" s="903">
        <v>0.48</v>
      </c>
      <c r="C767" s="440">
        <v>0.49</v>
      </c>
      <c r="D767" s="569"/>
    </row>
    <row r="768" spans="1:4" ht="15.5" hidden="1" x14ac:dyDescent="0.35">
      <c r="A768" s="439">
        <v>2915000</v>
      </c>
      <c r="B768" s="903">
        <v>0.48</v>
      </c>
      <c r="C768" s="440">
        <v>0.49</v>
      </c>
      <c r="D768" s="569"/>
    </row>
    <row r="769" spans="1:4" ht="15.5" hidden="1" x14ac:dyDescent="0.35">
      <c r="A769" s="439">
        <v>2920000</v>
      </c>
      <c r="B769" s="903">
        <v>0.48</v>
      </c>
      <c r="C769" s="440">
        <v>0.49</v>
      </c>
      <c r="D769" s="569"/>
    </row>
    <row r="770" spans="1:4" ht="15.5" hidden="1" x14ac:dyDescent="0.35">
      <c r="A770" s="439">
        <v>2925000</v>
      </c>
      <c r="B770" s="903">
        <v>0.48</v>
      </c>
      <c r="C770" s="440">
        <v>0.49</v>
      </c>
      <c r="D770" s="569"/>
    </row>
    <row r="771" spans="1:4" ht="15.5" hidden="1" x14ac:dyDescent="0.35">
      <c r="A771" s="439">
        <v>2930000</v>
      </c>
      <c r="B771" s="903">
        <v>0.48</v>
      </c>
      <c r="C771" s="440">
        <v>0.49</v>
      </c>
      <c r="D771" s="569"/>
    </row>
    <row r="772" spans="1:4" ht="15.5" hidden="1" x14ac:dyDescent="0.35">
      <c r="A772" s="439">
        <v>2935000</v>
      </c>
      <c r="B772" s="903">
        <v>0.48</v>
      </c>
      <c r="C772" s="440">
        <v>0.49</v>
      </c>
      <c r="D772" s="569"/>
    </row>
    <row r="773" spans="1:4" ht="15.5" hidden="1" x14ac:dyDescent="0.35">
      <c r="A773" s="439">
        <v>2940000</v>
      </c>
      <c r="B773" s="903">
        <v>0.48</v>
      </c>
      <c r="C773" s="440">
        <v>0.49</v>
      </c>
      <c r="D773" s="569"/>
    </row>
    <row r="774" spans="1:4" ht="15.5" hidden="1" x14ac:dyDescent="0.35">
      <c r="A774" s="439">
        <v>2945000</v>
      </c>
      <c r="B774" s="903">
        <v>0.48</v>
      </c>
      <c r="C774" s="440">
        <v>0.49</v>
      </c>
      <c r="D774" s="569"/>
    </row>
    <row r="775" spans="1:4" ht="15.5" hidden="1" x14ac:dyDescent="0.35">
      <c r="A775" s="439">
        <v>2950000</v>
      </c>
      <c r="B775" s="903">
        <v>0.48</v>
      </c>
      <c r="C775" s="440">
        <v>0.49</v>
      </c>
      <c r="D775" s="569"/>
    </row>
    <row r="776" spans="1:4" ht="15.5" hidden="1" x14ac:dyDescent="0.35">
      <c r="A776" s="439">
        <v>2955000</v>
      </c>
      <c r="B776" s="903">
        <v>0.48</v>
      </c>
      <c r="C776" s="440">
        <v>0.49</v>
      </c>
      <c r="D776" s="569"/>
    </row>
    <row r="777" spans="1:4" ht="15.5" hidden="1" x14ac:dyDescent="0.35">
      <c r="A777" s="439">
        <v>2960000</v>
      </c>
      <c r="B777" s="903">
        <v>0.48</v>
      </c>
      <c r="C777" s="440">
        <v>0.49</v>
      </c>
      <c r="D777" s="569"/>
    </row>
    <row r="778" spans="1:4" ht="15.5" hidden="1" x14ac:dyDescent="0.35">
      <c r="A778" s="439">
        <v>2965000</v>
      </c>
      <c r="B778" s="903">
        <v>0.48</v>
      </c>
      <c r="C778" s="440">
        <v>0.49</v>
      </c>
      <c r="D778" s="569"/>
    </row>
    <row r="779" spans="1:4" ht="15.5" hidden="1" x14ac:dyDescent="0.35">
      <c r="A779" s="439">
        <v>2970000</v>
      </c>
      <c r="B779" s="903">
        <v>0.48</v>
      </c>
      <c r="C779" s="440">
        <v>0.49</v>
      </c>
      <c r="D779" s="569"/>
    </row>
    <row r="780" spans="1:4" ht="15.5" hidden="1" x14ac:dyDescent="0.35">
      <c r="A780" s="439">
        <v>2975000</v>
      </c>
      <c r="B780" s="903">
        <v>0.48</v>
      </c>
      <c r="C780" s="440">
        <v>0.49</v>
      </c>
      <c r="D780" s="569"/>
    </row>
    <row r="781" spans="1:4" ht="15.5" hidden="1" x14ac:dyDescent="0.35">
      <c r="A781" s="439">
        <v>2980000</v>
      </c>
      <c r="B781" s="903">
        <v>0.48</v>
      </c>
      <c r="C781" s="440">
        <v>0.49</v>
      </c>
      <c r="D781" s="569"/>
    </row>
    <row r="782" spans="1:4" ht="15.5" hidden="1" x14ac:dyDescent="0.35">
      <c r="A782" s="439">
        <v>2985000</v>
      </c>
      <c r="B782" s="903">
        <v>0.48</v>
      </c>
      <c r="C782" s="440">
        <v>0.49</v>
      </c>
      <c r="D782" s="569"/>
    </row>
    <row r="783" spans="1:4" ht="15.5" hidden="1" x14ac:dyDescent="0.35">
      <c r="A783" s="439">
        <v>2990000</v>
      </c>
      <c r="B783" s="903">
        <v>0.48</v>
      </c>
      <c r="C783" s="440">
        <v>0.49</v>
      </c>
      <c r="D783" s="569"/>
    </row>
    <row r="784" spans="1:4" ht="15.5" hidden="1" x14ac:dyDescent="0.35">
      <c r="A784" s="439">
        <v>2995000</v>
      </c>
      <c r="B784" s="903">
        <v>0.48</v>
      </c>
      <c r="C784" s="440">
        <v>0.49</v>
      </c>
      <c r="D784" s="569"/>
    </row>
    <row r="785" spans="1:4" ht="15.5" hidden="1" x14ac:dyDescent="0.35">
      <c r="A785" s="439">
        <v>3000000</v>
      </c>
      <c r="B785" s="903">
        <v>0.48</v>
      </c>
      <c r="C785" s="440">
        <v>0.49</v>
      </c>
      <c r="D785" s="569"/>
    </row>
    <row r="786" spans="1:4" ht="15.5" hidden="1" x14ac:dyDescent="0.35">
      <c r="A786" s="439">
        <v>3005000</v>
      </c>
      <c r="B786" s="903">
        <v>0.48</v>
      </c>
      <c r="C786" s="440">
        <v>0.49</v>
      </c>
      <c r="D786" s="569"/>
    </row>
    <row r="787" spans="1:4" ht="15.5" hidden="1" x14ac:dyDescent="0.35">
      <c r="A787" s="439">
        <v>3010000</v>
      </c>
      <c r="B787" s="903">
        <v>0.48</v>
      </c>
      <c r="C787" s="440">
        <v>0.49</v>
      </c>
      <c r="D787" s="569"/>
    </row>
    <row r="788" spans="1:4" ht="15.5" hidden="1" x14ac:dyDescent="0.35">
      <c r="A788" s="439">
        <v>3015000</v>
      </c>
      <c r="B788" s="903">
        <v>0.48</v>
      </c>
      <c r="C788" s="440">
        <v>0.49</v>
      </c>
      <c r="D788" s="569"/>
    </row>
    <row r="789" spans="1:4" ht="15.5" hidden="1" x14ac:dyDescent="0.35">
      <c r="A789" s="439">
        <v>3020000</v>
      </c>
      <c r="B789" s="903">
        <v>0.48</v>
      </c>
      <c r="C789" s="440">
        <v>0.49</v>
      </c>
      <c r="D789" s="569"/>
    </row>
    <row r="790" spans="1:4" ht="15.5" hidden="1" x14ac:dyDescent="0.35">
      <c r="A790" s="439">
        <v>3025000</v>
      </c>
      <c r="B790" s="903">
        <v>0.48</v>
      </c>
      <c r="C790" s="440">
        <v>0.49</v>
      </c>
      <c r="D790" s="569"/>
    </row>
    <row r="791" spans="1:4" ht="15.5" hidden="1" x14ac:dyDescent="0.35">
      <c r="A791" s="439">
        <v>3030000</v>
      </c>
      <c r="B791" s="903">
        <v>0.48</v>
      </c>
      <c r="C791" s="440">
        <v>0.49</v>
      </c>
      <c r="D791" s="569"/>
    </row>
    <row r="792" spans="1:4" ht="15.5" hidden="1" x14ac:dyDescent="0.35">
      <c r="A792" s="439">
        <v>3035000</v>
      </c>
      <c r="B792" s="903">
        <v>0.48</v>
      </c>
      <c r="C792" s="440">
        <v>0.49</v>
      </c>
      <c r="D792" s="569"/>
    </row>
    <row r="793" spans="1:4" ht="15.5" hidden="1" x14ac:dyDescent="0.35">
      <c r="A793" s="439">
        <v>3040000</v>
      </c>
      <c r="B793" s="903">
        <v>0.48</v>
      </c>
      <c r="C793" s="440">
        <v>0.49</v>
      </c>
      <c r="D793" s="569"/>
    </row>
    <row r="794" spans="1:4" ht="15.5" hidden="1" x14ac:dyDescent="0.35">
      <c r="A794" s="439">
        <v>3045000</v>
      </c>
      <c r="B794" s="903">
        <v>0.48</v>
      </c>
      <c r="C794" s="440">
        <v>0.49</v>
      </c>
      <c r="D794" s="569"/>
    </row>
    <row r="795" spans="1:4" ht="15.5" hidden="1" x14ac:dyDescent="0.35">
      <c r="A795" s="439">
        <v>3050000</v>
      </c>
      <c r="B795" s="903">
        <v>0.48</v>
      </c>
      <c r="C795" s="440">
        <v>0.49</v>
      </c>
      <c r="D795" s="569"/>
    </row>
    <row r="796" spans="1:4" ht="15.5" hidden="1" x14ac:dyDescent="0.35">
      <c r="A796" s="439">
        <v>3055000</v>
      </c>
      <c r="B796" s="903">
        <v>0.48</v>
      </c>
      <c r="C796" s="440">
        <v>0.49</v>
      </c>
      <c r="D796" s="569"/>
    </row>
    <row r="797" spans="1:4" ht="15.5" hidden="1" x14ac:dyDescent="0.35">
      <c r="A797" s="439">
        <v>3060000</v>
      </c>
      <c r="B797" s="903">
        <v>0.48</v>
      </c>
      <c r="C797" s="440">
        <v>0.49</v>
      </c>
      <c r="D797" s="569"/>
    </row>
    <row r="798" spans="1:4" ht="15.5" hidden="1" x14ac:dyDescent="0.35">
      <c r="A798" s="439">
        <v>3065000</v>
      </c>
      <c r="B798" s="903">
        <v>0.48</v>
      </c>
      <c r="C798" s="440">
        <v>0.49</v>
      </c>
      <c r="D798" s="569"/>
    </row>
    <row r="799" spans="1:4" ht="15.5" hidden="1" x14ac:dyDescent="0.35">
      <c r="A799" s="439">
        <v>3070000</v>
      </c>
      <c r="B799" s="903">
        <v>0.48</v>
      </c>
      <c r="C799" s="440">
        <v>0.49</v>
      </c>
      <c r="D799" s="569"/>
    </row>
    <row r="800" spans="1:4" ht="15.5" hidden="1" x14ac:dyDescent="0.35">
      <c r="A800" s="439">
        <v>3075000</v>
      </c>
      <c r="B800" s="903">
        <v>0.48</v>
      </c>
      <c r="C800" s="440">
        <v>0.49</v>
      </c>
      <c r="D800" s="569"/>
    </row>
    <row r="801" spans="1:4" ht="15.5" hidden="1" x14ac:dyDescent="0.35">
      <c r="A801" s="439">
        <v>3080000</v>
      </c>
      <c r="B801" s="903">
        <v>0.48</v>
      </c>
      <c r="C801" s="440">
        <v>0.49</v>
      </c>
      <c r="D801" s="569"/>
    </row>
    <row r="802" spans="1:4" ht="15.5" hidden="1" x14ac:dyDescent="0.35">
      <c r="A802" s="439">
        <v>3085000</v>
      </c>
      <c r="B802" s="903">
        <v>0.48</v>
      </c>
      <c r="C802" s="440">
        <v>0.49</v>
      </c>
      <c r="D802" s="569"/>
    </row>
    <row r="803" spans="1:4" ht="15.5" hidden="1" x14ac:dyDescent="0.35">
      <c r="A803" s="439">
        <v>3090000</v>
      </c>
      <c r="B803" s="903">
        <v>0.48</v>
      </c>
      <c r="C803" s="440">
        <v>0.49</v>
      </c>
      <c r="D803" s="569"/>
    </row>
    <row r="804" spans="1:4" ht="15.5" hidden="1" x14ac:dyDescent="0.35">
      <c r="A804" s="439">
        <v>3095000</v>
      </c>
      <c r="B804" s="903">
        <v>0.48</v>
      </c>
      <c r="C804" s="440">
        <v>0.49</v>
      </c>
      <c r="D804" s="569"/>
    </row>
    <row r="805" spans="1:4" ht="15.5" hidden="1" x14ac:dyDescent="0.35">
      <c r="A805" s="439">
        <v>3100000</v>
      </c>
      <c r="B805" s="903">
        <v>0.48</v>
      </c>
      <c r="C805" s="440">
        <v>0.49</v>
      </c>
      <c r="D805" s="569"/>
    </row>
    <row r="806" spans="1:4" ht="15.5" hidden="1" x14ac:dyDescent="0.35">
      <c r="A806" s="439">
        <v>3105000</v>
      </c>
      <c r="B806" s="903">
        <v>0.48</v>
      </c>
      <c r="C806" s="440">
        <v>0.49</v>
      </c>
      <c r="D806" s="569"/>
    </row>
    <row r="807" spans="1:4" ht="15.5" hidden="1" x14ac:dyDescent="0.35">
      <c r="A807" s="439">
        <v>3110000</v>
      </c>
      <c r="B807" s="903">
        <v>0.48</v>
      </c>
      <c r="C807" s="440">
        <v>0.49</v>
      </c>
      <c r="D807" s="569"/>
    </row>
    <row r="808" spans="1:4" ht="15.5" hidden="1" x14ac:dyDescent="0.35">
      <c r="A808" s="439">
        <v>3115000</v>
      </c>
      <c r="B808" s="903">
        <v>0.48</v>
      </c>
      <c r="C808" s="440">
        <v>0.49</v>
      </c>
      <c r="D808" s="569"/>
    </row>
    <row r="809" spans="1:4" ht="15.5" hidden="1" x14ac:dyDescent="0.35">
      <c r="A809" s="439">
        <v>3120000</v>
      </c>
      <c r="B809" s="903">
        <v>0.48</v>
      </c>
      <c r="C809" s="440">
        <v>0.49</v>
      </c>
      <c r="D809" s="569"/>
    </row>
    <row r="810" spans="1:4" ht="15.5" hidden="1" x14ac:dyDescent="0.35">
      <c r="A810" s="439">
        <v>3125000</v>
      </c>
      <c r="B810" s="903">
        <v>0.48</v>
      </c>
      <c r="C810" s="440">
        <v>0.49</v>
      </c>
      <c r="D810" s="569"/>
    </row>
    <row r="811" spans="1:4" ht="15.5" hidden="1" x14ac:dyDescent="0.35">
      <c r="A811" s="439">
        <v>3130000</v>
      </c>
      <c r="B811" s="903">
        <v>0.48</v>
      </c>
      <c r="C811" s="440">
        <v>0.49</v>
      </c>
      <c r="D811" s="569"/>
    </row>
    <row r="812" spans="1:4" ht="15.5" hidden="1" x14ac:dyDescent="0.35">
      <c r="A812" s="439">
        <v>3135000</v>
      </c>
      <c r="B812" s="903">
        <v>0.48</v>
      </c>
      <c r="C812" s="440">
        <v>0.49</v>
      </c>
      <c r="D812" s="569"/>
    </row>
    <row r="813" spans="1:4" ht="15.5" hidden="1" x14ac:dyDescent="0.35">
      <c r="A813" s="439">
        <v>3140000</v>
      </c>
      <c r="B813" s="903">
        <v>0.48</v>
      </c>
      <c r="C813" s="440">
        <v>0.49</v>
      </c>
      <c r="D813" s="569"/>
    </row>
    <row r="814" spans="1:4" ht="15.5" hidden="1" x14ac:dyDescent="0.35">
      <c r="A814" s="439">
        <v>3145000</v>
      </c>
      <c r="B814" s="903">
        <v>0.48</v>
      </c>
      <c r="C814" s="440">
        <v>0.49</v>
      </c>
      <c r="D814" s="569"/>
    </row>
    <row r="815" spans="1:4" ht="15.5" hidden="1" x14ac:dyDescent="0.35">
      <c r="A815" s="439">
        <v>3150000</v>
      </c>
      <c r="B815" s="903">
        <v>0.48</v>
      </c>
      <c r="C815" s="440">
        <v>0.49</v>
      </c>
      <c r="D815" s="569"/>
    </row>
    <row r="816" spans="1:4" ht="15.5" hidden="1" x14ac:dyDescent="0.35">
      <c r="A816" s="439">
        <v>3155000</v>
      </c>
      <c r="B816" s="903">
        <v>0.48</v>
      </c>
      <c r="C816" s="440">
        <v>0.49</v>
      </c>
      <c r="D816" s="569"/>
    </row>
    <row r="817" spans="1:4" ht="15.5" hidden="1" x14ac:dyDescent="0.35">
      <c r="A817" s="439">
        <v>3160000</v>
      </c>
      <c r="B817" s="903">
        <v>0.48</v>
      </c>
      <c r="C817" s="440">
        <v>0.49</v>
      </c>
      <c r="D817" s="569"/>
    </row>
    <row r="818" spans="1:4" ht="15.5" hidden="1" x14ac:dyDescent="0.35">
      <c r="A818" s="439">
        <v>3165000</v>
      </c>
      <c r="B818" s="903">
        <v>0.48</v>
      </c>
      <c r="C818" s="440">
        <v>0.49</v>
      </c>
      <c r="D818" s="569"/>
    </row>
    <row r="819" spans="1:4" ht="15.5" hidden="1" x14ac:dyDescent="0.35">
      <c r="A819" s="439">
        <v>3170000</v>
      </c>
      <c r="B819" s="903">
        <v>0.48</v>
      </c>
      <c r="C819" s="440">
        <v>0.49</v>
      </c>
      <c r="D819" s="569"/>
    </row>
    <row r="820" spans="1:4" ht="15.5" hidden="1" x14ac:dyDescent="0.35">
      <c r="A820" s="439">
        <v>3175000</v>
      </c>
      <c r="B820" s="903">
        <v>0.48</v>
      </c>
      <c r="C820" s="440">
        <v>0.49</v>
      </c>
      <c r="D820" s="569"/>
    </row>
    <row r="821" spans="1:4" ht="15.5" hidden="1" x14ac:dyDescent="0.35">
      <c r="A821" s="439">
        <v>3180000</v>
      </c>
      <c r="B821" s="903">
        <v>0.48</v>
      </c>
      <c r="C821" s="440">
        <v>0.49</v>
      </c>
      <c r="D821" s="569"/>
    </row>
    <row r="822" spans="1:4" ht="15.5" hidden="1" x14ac:dyDescent="0.35">
      <c r="A822" s="439">
        <v>3185000</v>
      </c>
      <c r="B822" s="903">
        <v>0.48</v>
      </c>
      <c r="C822" s="440">
        <v>0.49</v>
      </c>
      <c r="D822" s="569"/>
    </row>
    <row r="823" spans="1:4" ht="15.5" hidden="1" x14ac:dyDescent="0.35">
      <c r="A823" s="439">
        <v>3190000</v>
      </c>
      <c r="B823" s="903">
        <v>0.48</v>
      </c>
      <c r="C823" s="440">
        <v>0.49</v>
      </c>
      <c r="D823" s="569"/>
    </row>
    <row r="824" spans="1:4" ht="15.5" hidden="1" x14ac:dyDescent="0.35">
      <c r="A824" s="439">
        <v>3195000</v>
      </c>
      <c r="B824" s="903">
        <v>0.48</v>
      </c>
      <c r="C824" s="440">
        <v>0.49</v>
      </c>
      <c r="D824" s="569"/>
    </row>
    <row r="825" spans="1:4" ht="15.5" hidden="1" x14ac:dyDescent="0.35">
      <c r="A825" s="439">
        <v>3200000</v>
      </c>
      <c r="B825" s="903">
        <v>0.48</v>
      </c>
      <c r="C825" s="440">
        <v>0.49</v>
      </c>
      <c r="D825" s="569"/>
    </row>
    <row r="826" spans="1:4" ht="15.5" hidden="1" x14ac:dyDescent="0.35">
      <c r="A826" s="439">
        <v>3205000</v>
      </c>
      <c r="B826" s="903">
        <v>0.48</v>
      </c>
      <c r="C826" s="440">
        <v>0.49</v>
      </c>
      <c r="D826" s="569"/>
    </row>
    <row r="827" spans="1:4" ht="15.5" hidden="1" x14ac:dyDescent="0.35">
      <c r="A827" s="439">
        <v>3210000</v>
      </c>
      <c r="B827" s="903">
        <v>0.48</v>
      </c>
      <c r="C827" s="440">
        <v>0.49</v>
      </c>
      <c r="D827" s="569"/>
    </row>
    <row r="828" spans="1:4" ht="15.5" hidden="1" x14ac:dyDescent="0.35">
      <c r="A828" s="439">
        <v>3215000</v>
      </c>
      <c r="B828" s="903">
        <v>0.48</v>
      </c>
      <c r="C828" s="440">
        <v>0.49</v>
      </c>
      <c r="D828" s="569"/>
    </row>
    <row r="829" spans="1:4" ht="15.5" hidden="1" x14ac:dyDescent="0.35">
      <c r="A829" s="439">
        <v>3220000</v>
      </c>
      <c r="B829" s="903">
        <v>0.48</v>
      </c>
      <c r="C829" s="440">
        <v>0.49</v>
      </c>
      <c r="D829" s="569"/>
    </row>
    <row r="830" spans="1:4" ht="15.5" hidden="1" x14ac:dyDescent="0.35">
      <c r="A830" s="439">
        <v>3225000</v>
      </c>
      <c r="B830" s="903">
        <v>0.48</v>
      </c>
      <c r="C830" s="440">
        <v>0.49</v>
      </c>
      <c r="D830" s="569"/>
    </row>
    <row r="831" spans="1:4" ht="15.5" hidden="1" x14ac:dyDescent="0.35">
      <c r="A831" s="439">
        <v>3230000</v>
      </c>
      <c r="B831" s="903">
        <v>0.48</v>
      </c>
      <c r="C831" s="440">
        <v>0.49</v>
      </c>
      <c r="D831" s="569"/>
    </row>
    <row r="832" spans="1:4" ht="15.5" hidden="1" x14ac:dyDescent="0.35">
      <c r="A832" s="439">
        <v>3235000</v>
      </c>
      <c r="B832" s="903">
        <v>0.48</v>
      </c>
      <c r="C832" s="440">
        <v>0.49</v>
      </c>
      <c r="D832" s="569"/>
    </row>
    <row r="833" spans="1:4" ht="15.5" hidden="1" x14ac:dyDescent="0.35">
      <c r="A833" s="439">
        <v>3240000</v>
      </c>
      <c r="B833" s="903">
        <v>0.48</v>
      </c>
      <c r="C833" s="440">
        <v>0.49</v>
      </c>
      <c r="D833" s="569"/>
    </row>
    <row r="834" spans="1:4" ht="15.5" hidden="1" x14ac:dyDescent="0.35">
      <c r="A834" s="439">
        <v>3245000</v>
      </c>
      <c r="B834" s="903">
        <v>0.48</v>
      </c>
      <c r="C834" s="440">
        <v>0.49</v>
      </c>
      <c r="D834" s="569"/>
    </row>
    <row r="835" spans="1:4" ht="15.5" hidden="1" x14ac:dyDescent="0.35">
      <c r="A835" s="439">
        <v>3250000</v>
      </c>
      <c r="B835" s="903">
        <v>0.48</v>
      </c>
      <c r="C835" s="440">
        <v>0.49</v>
      </c>
      <c r="D835" s="569"/>
    </row>
    <row r="836" spans="1:4" ht="15.5" hidden="1" x14ac:dyDescent="0.35">
      <c r="A836" s="439">
        <v>3255000</v>
      </c>
      <c r="B836" s="903">
        <v>0.48</v>
      </c>
      <c r="C836" s="440">
        <v>0.49</v>
      </c>
      <c r="D836" s="569"/>
    </row>
    <row r="837" spans="1:4" ht="15.5" hidden="1" x14ac:dyDescent="0.35">
      <c r="A837" s="439">
        <v>3260000</v>
      </c>
      <c r="B837" s="903">
        <v>0.48</v>
      </c>
      <c r="C837" s="440">
        <v>0.49</v>
      </c>
      <c r="D837" s="569"/>
    </row>
    <row r="838" spans="1:4" ht="15.5" hidden="1" x14ac:dyDescent="0.35">
      <c r="A838" s="439">
        <v>3265000</v>
      </c>
      <c r="B838" s="903">
        <v>0.48</v>
      </c>
      <c r="C838" s="440">
        <v>0.49</v>
      </c>
      <c r="D838" s="569"/>
    </row>
    <row r="839" spans="1:4" ht="15.5" hidden="1" x14ac:dyDescent="0.35">
      <c r="A839" s="439">
        <v>3270000</v>
      </c>
      <c r="B839" s="903">
        <v>0.48</v>
      </c>
      <c r="C839" s="440">
        <v>0.49</v>
      </c>
      <c r="D839" s="569"/>
    </row>
    <row r="840" spans="1:4" ht="15.5" hidden="1" x14ac:dyDescent="0.35">
      <c r="A840" s="439">
        <v>3275000</v>
      </c>
      <c r="B840" s="903">
        <v>0.48</v>
      </c>
      <c r="C840" s="440">
        <v>0.49</v>
      </c>
      <c r="D840" s="569"/>
    </row>
    <row r="841" spans="1:4" ht="15.5" hidden="1" x14ac:dyDescent="0.35">
      <c r="A841" s="439">
        <v>3280000</v>
      </c>
      <c r="B841" s="903">
        <v>0.48</v>
      </c>
      <c r="C841" s="440">
        <v>0.49</v>
      </c>
      <c r="D841" s="569"/>
    </row>
    <row r="842" spans="1:4" ht="15.5" hidden="1" x14ac:dyDescent="0.35">
      <c r="A842" s="439">
        <v>3285000</v>
      </c>
      <c r="B842" s="903">
        <v>0.48</v>
      </c>
      <c r="C842" s="440">
        <v>0.49</v>
      </c>
      <c r="D842" s="569"/>
    </row>
    <row r="843" spans="1:4" ht="15.5" hidden="1" x14ac:dyDescent="0.35">
      <c r="A843" s="439">
        <v>3290000</v>
      </c>
      <c r="B843" s="903">
        <v>0.48</v>
      </c>
      <c r="C843" s="440">
        <v>0.49</v>
      </c>
      <c r="D843" s="569"/>
    </row>
    <row r="844" spans="1:4" ht="15.5" hidden="1" x14ac:dyDescent="0.35">
      <c r="A844" s="439">
        <v>3295000</v>
      </c>
      <c r="B844" s="903">
        <v>0.48</v>
      </c>
      <c r="C844" s="440">
        <v>0.49</v>
      </c>
      <c r="D844" s="569"/>
    </row>
    <row r="845" spans="1:4" ht="15.5" hidden="1" x14ac:dyDescent="0.35">
      <c r="A845" s="439">
        <v>3300000</v>
      </c>
      <c r="B845" s="903">
        <v>0.48</v>
      </c>
      <c r="C845" s="440">
        <v>0.49</v>
      </c>
      <c r="D845" s="569"/>
    </row>
    <row r="846" spans="1:4" ht="15.5" hidden="1" x14ac:dyDescent="0.35">
      <c r="A846" s="439">
        <v>3305000</v>
      </c>
      <c r="B846" s="903">
        <v>0.48</v>
      </c>
      <c r="C846" s="440">
        <v>0.49</v>
      </c>
      <c r="D846" s="569"/>
    </row>
    <row r="847" spans="1:4" ht="15.5" hidden="1" x14ac:dyDescent="0.35">
      <c r="A847" s="439">
        <v>3310000</v>
      </c>
      <c r="B847" s="903">
        <v>0.48</v>
      </c>
      <c r="C847" s="440">
        <v>0.49</v>
      </c>
      <c r="D847" s="569"/>
    </row>
    <row r="848" spans="1:4" ht="15.5" hidden="1" x14ac:dyDescent="0.35">
      <c r="A848" s="439">
        <v>3315000</v>
      </c>
      <c r="B848" s="903">
        <v>0.48</v>
      </c>
      <c r="C848" s="440">
        <v>0.49</v>
      </c>
      <c r="D848" s="569"/>
    </row>
    <row r="849" spans="1:4" ht="15.5" hidden="1" x14ac:dyDescent="0.35">
      <c r="A849" s="439">
        <v>3320000</v>
      </c>
      <c r="B849" s="903">
        <v>0.48</v>
      </c>
      <c r="C849" s="440">
        <v>0.49</v>
      </c>
      <c r="D849" s="569"/>
    </row>
    <row r="850" spans="1:4" ht="15.5" hidden="1" x14ac:dyDescent="0.35">
      <c r="A850" s="439">
        <v>3325000</v>
      </c>
      <c r="B850" s="903">
        <v>0.48</v>
      </c>
      <c r="C850" s="440">
        <v>0.49</v>
      </c>
      <c r="D850" s="569"/>
    </row>
    <row r="851" spans="1:4" ht="15.5" hidden="1" x14ac:dyDescent="0.35">
      <c r="A851" s="439">
        <v>3330000</v>
      </c>
      <c r="B851" s="903">
        <v>0.48</v>
      </c>
      <c r="C851" s="440">
        <v>0.49</v>
      </c>
      <c r="D851" s="569"/>
    </row>
    <row r="852" spans="1:4" ht="15.5" hidden="1" x14ac:dyDescent="0.35">
      <c r="A852" s="439">
        <v>3335000</v>
      </c>
      <c r="B852" s="903">
        <v>0.48</v>
      </c>
      <c r="C852" s="440">
        <v>0.49</v>
      </c>
      <c r="D852" s="569"/>
    </row>
    <row r="853" spans="1:4" ht="15.5" hidden="1" x14ac:dyDescent="0.35">
      <c r="A853" s="439">
        <v>3340000</v>
      </c>
      <c r="B853" s="903">
        <v>0.48</v>
      </c>
      <c r="C853" s="440">
        <v>0.49</v>
      </c>
      <c r="D853" s="569"/>
    </row>
    <row r="854" spans="1:4" ht="15.5" hidden="1" x14ac:dyDescent="0.35">
      <c r="A854" s="439">
        <v>3345000</v>
      </c>
      <c r="B854" s="903">
        <v>0.48</v>
      </c>
      <c r="C854" s="440">
        <v>0.49</v>
      </c>
      <c r="D854" s="569"/>
    </row>
    <row r="855" spans="1:4" ht="15.5" hidden="1" x14ac:dyDescent="0.35">
      <c r="A855" s="439">
        <v>3350000</v>
      </c>
      <c r="B855" s="903">
        <v>0.48</v>
      </c>
      <c r="C855" s="440">
        <v>0.49</v>
      </c>
      <c r="D855" s="569"/>
    </row>
    <row r="856" spans="1:4" ht="15.5" hidden="1" x14ac:dyDescent="0.35">
      <c r="A856" s="439">
        <v>3355000</v>
      </c>
      <c r="B856" s="903">
        <v>0.48</v>
      </c>
      <c r="C856" s="440">
        <v>0.49</v>
      </c>
      <c r="D856" s="569"/>
    </row>
    <row r="857" spans="1:4" ht="15.5" hidden="1" x14ac:dyDescent="0.35">
      <c r="A857" s="439">
        <v>3360000</v>
      </c>
      <c r="B857" s="903">
        <v>0.48</v>
      </c>
      <c r="C857" s="440">
        <v>0.49</v>
      </c>
      <c r="D857" s="569"/>
    </row>
    <row r="858" spans="1:4" ht="15.5" hidden="1" x14ac:dyDescent="0.35">
      <c r="A858" s="439">
        <v>3365000</v>
      </c>
      <c r="B858" s="903">
        <v>0.48</v>
      </c>
      <c r="C858" s="440">
        <v>0.49</v>
      </c>
      <c r="D858" s="569"/>
    </row>
    <row r="859" spans="1:4" ht="15.5" hidden="1" x14ac:dyDescent="0.35">
      <c r="A859" s="439">
        <v>3370000</v>
      </c>
      <c r="B859" s="903">
        <v>0.48</v>
      </c>
      <c r="C859" s="440">
        <v>0.49</v>
      </c>
      <c r="D859" s="569"/>
    </row>
    <row r="860" spans="1:4" ht="15.5" hidden="1" x14ac:dyDescent="0.35">
      <c r="A860" s="439">
        <v>3375000</v>
      </c>
      <c r="B860" s="903">
        <v>0.48</v>
      </c>
      <c r="C860" s="440">
        <v>0.49</v>
      </c>
      <c r="D860" s="569"/>
    </row>
    <row r="861" spans="1:4" ht="15.5" hidden="1" x14ac:dyDescent="0.35">
      <c r="A861" s="439">
        <v>3380000</v>
      </c>
      <c r="B861" s="903">
        <v>0.48</v>
      </c>
      <c r="C861" s="440">
        <v>0.49</v>
      </c>
      <c r="D861" s="569"/>
    </row>
    <row r="862" spans="1:4" ht="15.5" hidden="1" x14ac:dyDescent="0.35">
      <c r="A862" s="439">
        <v>3385000</v>
      </c>
      <c r="B862" s="903">
        <v>0.48</v>
      </c>
      <c r="C862" s="440">
        <v>0.49</v>
      </c>
      <c r="D862" s="569"/>
    </row>
    <row r="863" spans="1:4" ht="15.5" hidden="1" x14ac:dyDescent="0.35">
      <c r="A863" s="439">
        <v>3390000</v>
      </c>
      <c r="B863" s="903">
        <v>0.48</v>
      </c>
      <c r="C863" s="440">
        <v>0.48</v>
      </c>
      <c r="D863" s="569"/>
    </row>
    <row r="864" spans="1:4" ht="15.5" hidden="1" x14ac:dyDescent="0.35">
      <c r="A864" s="439">
        <v>3395000</v>
      </c>
      <c r="B864" s="903">
        <v>0.48</v>
      </c>
      <c r="C864" s="440">
        <v>0.48</v>
      </c>
      <c r="D864" s="569"/>
    </row>
    <row r="865" spans="1:4" ht="15.5" hidden="1" x14ac:dyDescent="0.35">
      <c r="A865" s="439">
        <v>3400000</v>
      </c>
      <c r="B865" s="903">
        <v>0.48</v>
      </c>
      <c r="C865" s="440">
        <v>0.48</v>
      </c>
      <c r="D865" s="569"/>
    </row>
    <row r="866" spans="1:4" ht="15.5" hidden="1" x14ac:dyDescent="0.35">
      <c r="A866" s="439">
        <v>3405000</v>
      </c>
      <c r="B866" s="903">
        <v>0.48</v>
      </c>
      <c r="C866" s="440">
        <v>0.48</v>
      </c>
      <c r="D866" s="569"/>
    </row>
    <row r="867" spans="1:4" ht="15.5" hidden="1" x14ac:dyDescent="0.35">
      <c r="A867" s="439">
        <v>3410000</v>
      </c>
      <c r="B867" s="903">
        <v>0.48</v>
      </c>
      <c r="C867" s="440">
        <v>0.48</v>
      </c>
      <c r="D867" s="569"/>
    </row>
    <row r="868" spans="1:4" ht="15.5" hidden="1" x14ac:dyDescent="0.35">
      <c r="A868" s="439">
        <v>3415000</v>
      </c>
      <c r="B868" s="903">
        <v>0.48</v>
      </c>
      <c r="C868" s="440">
        <v>0.48</v>
      </c>
      <c r="D868" s="569"/>
    </row>
    <row r="869" spans="1:4" ht="15.5" hidden="1" x14ac:dyDescent="0.35">
      <c r="A869" s="439">
        <v>3420000</v>
      </c>
      <c r="B869" s="903">
        <v>0.48</v>
      </c>
      <c r="C869" s="440">
        <v>0.48</v>
      </c>
      <c r="D869" s="569"/>
    </row>
    <row r="870" spans="1:4" ht="15.5" hidden="1" x14ac:dyDescent="0.35">
      <c r="A870" s="439">
        <v>3425000</v>
      </c>
      <c r="B870" s="903">
        <v>0.48</v>
      </c>
      <c r="C870" s="440">
        <v>0.48</v>
      </c>
      <c r="D870" s="569"/>
    </row>
    <row r="871" spans="1:4" ht="15.5" hidden="1" x14ac:dyDescent="0.35">
      <c r="A871" s="439">
        <v>3430000</v>
      </c>
      <c r="B871" s="903">
        <v>0.48</v>
      </c>
      <c r="C871" s="440">
        <v>0.48</v>
      </c>
      <c r="D871" s="569"/>
    </row>
    <row r="872" spans="1:4" ht="15.5" hidden="1" x14ac:dyDescent="0.35">
      <c r="A872" s="439">
        <v>3435000</v>
      </c>
      <c r="B872" s="903">
        <v>0.48</v>
      </c>
      <c r="C872" s="440">
        <v>0.48</v>
      </c>
      <c r="D872" s="569"/>
    </row>
    <row r="873" spans="1:4" ht="15.5" hidden="1" x14ac:dyDescent="0.35">
      <c r="A873" s="439">
        <v>3440000</v>
      </c>
      <c r="B873" s="903">
        <v>0.48</v>
      </c>
      <c r="C873" s="440">
        <v>0.48</v>
      </c>
      <c r="D873" s="569"/>
    </row>
    <row r="874" spans="1:4" ht="15.5" hidden="1" x14ac:dyDescent="0.35">
      <c r="A874" s="439">
        <v>3445000</v>
      </c>
      <c r="B874" s="903">
        <v>0.48</v>
      </c>
      <c r="C874" s="440">
        <v>0.48</v>
      </c>
      <c r="D874" s="569"/>
    </row>
    <row r="875" spans="1:4" ht="15.5" hidden="1" x14ac:dyDescent="0.35">
      <c r="A875" s="439">
        <v>3450000</v>
      </c>
      <c r="B875" s="903">
        <v>0.48</v>
      </c>
      <c r="C875" s="440">
        <v>0.48</v>
      </c>
      <c r="D875" s="569"/>
    </row>
    <row r="876" spans="1:4" ht="15.5" hidden="1" x14ac:dyDescent="0.35">
      <c r="A876" s="439">
        <v>3455000</v>
      </c>
      <c r="B876" s="903">
        <v>0.48</v>
      </c>
      <c r="C876" s="440">
        <v>0.48</v>
      </c>
      <c r="D876" s="569"/>
    </row>
    <row r="877" spans="1:4" ht="15.5" hidden="1" x14ac:dyDescent="0.35">
      <c r="A877" s="439">
        <v>3460000</v>
      </c>
      <c r="B877" s="903">
        <v>0.48</v>
      </c>
      <c r="C877" s="440">
        <v>0.48</v>
      </c>
      <c r="D877" s="569"/>
    </row>
    <row r="878" spans="1:4" ht="15.5" hidden="1" x14ac:dyDescent="0.35">
      <c r="A878" s="439">
        <v>3465000</v>
      </c>
      <c r="B878" s="903">
        <v>0.48</v>
      </c>
      <c r="C878" s="440">
        <v>0.48</v>
      </c>
      <c r="D878" s="569"/>
    </row>
    <row r="879" spans="1:4" ht="15.5" hidden="1" x14ac:dyDescent="0.35">
      <c r="A879" s="439">
        <v>3470000</v>
      </c>
      <c r="B879" s="903">
        <v>0.48</v>
      </c>
      <c r="C879" s="440">
        <v>0.48</v>
      </c>
      <c r="D879" s="569"/>
    </row>
    <row r="880" spans="1:4" ht="15.5" hidden="1" x14ac:dyDescent="0.35">
      <c r="A880" s="439">
        <v>3475000</v>
      </c>
      <c r="B880" s="903">
        <v>0.48</v>
      </c>
      <c r="C880" s="440">
        <v>0.48</v>
      </c>
      <c r="D880" s="569"/>
    </row>
    <row r="881" spans="1:4" ht="15.5" hidden="1" x14ac:dyDescent="0.35">
      <c r="A881" s="439">
        <v>3480000</v>
      </c>
      <c r="B881" s="903">
        <v>0.48</v>
      </c>
      <c r="C881" s="440">
        <v>0.48</v>
      </c>
      <c r="D881" s="569"/>
    </row>
    <row r="882" spans="1:4" ht="15.5" hidden="1" x14ac:dyDescent="0.35">
      <c r="A882" s="439">
        <v>3485000</v>
      </c>
      <c r="B882" s="903">
        <v>0.48</v>
      </c>
      <c r="C882" s="440">
        <v>0.48</v>
      </c>
      <c r="D882" s="569"/>
    </row>
    <row r="883" spans="1:4" ht="15.5" hidden="1" x14ac:dyDescent="0.35">
      <c r="A883" s="439">
        <v>3490000</v>
      </c>
      <c r="B883" s="903">
        <v>0.48</v>
      </c>
      <c r="C883" s="440">
        <v>0.48</v>
      </c>
      <c r="D883" s="569"/>
    </row>
    <row r="884" spans="1:4" ht="15.5" hidden="1" x14ac:dyDescent="0.35">
      <c r="A884" s="439">
        <v>3495000</v>
      </c>
      <c r="B884" s="903">
        <v>0.48</v>
      </c>
      <c r="C884" s="440">
        <v>0.48</v>
      </c>
      <c r="D884" s="569"/>
    </row>
    <row r="885" spans="1:4" ht="15.5" hidden="1" x14ac:dyDescent="0.35">
      <c r="A885" s="449">
        <v>3500000</v>
      </c>
      <c r="B885" s="904">
        <v>0.48</v>
      </c>
      <c r="C885" s="450">
        <v>0.48</v>
      </c>
      <c r="D885" s="569"/>
    </row>
    <row r="886" spans="1:4" ht="15.5" hidden="1" x14ac:dyDescent="0.35">
      <c r="B886" s="834">
        <v>0.48</v>
      </c>
      <c r="C886" s="834">
        <v>0.48</v>
      </c>
    </row>
    <row r="887" spans="1:4" ht="15.5" hidden="1" x14ac:dyDescent="0.35"/>
    <row r="888" spans="1:4" ht="15.5" hidden="1" x14ac:dyDescent="0.35"/>
    <row r="889" spans="1:4" ht="15.5" hidden="1" x14ac:dyDescent="0.35"/>
    <row r="890" spans="1:4" ht="15.5" hidden="1" x14ac:dyDescent="0.35"/>
    <row r="891" spans="1:4" ht="15.5" hidden="1" x14ac:dyDescent="0.35"/>
    <row r="892" spans="1:4" ht="15.5" hidden="1" x14ac:dyDescent="0.35"/>
    <row r="893" spans="1:4" ht="15.5" hidden="1" x14ac:dyDescent="0.35"/>
    <row r="894" spans="1:4" ht="15.5" hidden="1" x14ac:dyDescent="0.35"/>
    <row r="895" spans="1:4" ht="15.5" hidden="1" x14ac:dyDescent="0.35"/>
    <row r="896" spans="1:4" ht="15.5" hidden="1" x14ac:dyDescent="0.35"/>
    <row r="897" ht="15.5" hidden="1" x14ac:dyDescent="0.35"/>
    <row r="898" ht="15.5" hidden="1" x14ac:dyDescent="0.35"/>
    <row r="899" ht="15.5" hidden="1" x14ac:dyDescent="0.35"/>
    <row r="900" ht="15.5" hidden="1" x14ac:dyDescent="0.35"/>
    <row r="901" ht="15.5" hidden="1" x14ac:dyDescent="0.35"/>
    <row r="902" ht="15.5" hidden="1" x14ac:dyDescent="0.35"/>
    <row r="903" ht="15.5" hidden="1" x14ac:dyDescent="0.35"/>
    <row r="904" ht="15.5" hidden="1" x14ac:dyDescent="0.35"/>
    <row r="905" ht="15.5" hidden="1" x14ac:dyDescent="0.35"/>
    <row r="906" ht="15.5" hidden="1" x14ac:dyDescent="0.35"/>
    <row r="907" ht="15.5" hidden="1" x14ac:dyDescent="0.35"/>
    <row r="908" ht="15.5" hidden="1" x14ac:dyDescent="0.35"/>
    <row r="909" ht="15.5" hidden="1" x14ac:dyDescent="0.35"/>
    <row r="910" ht="15.5" hidden="1" x14ac:dyDescent="0.35"/>
    <row r="911" ht="15.5" hidden="1" x14ac:dyDescent="0.35"/>
    <row r="912" ht="15.5" hidden="1" x14ac:dyDescent="0.35"/>
    <row r="913" ht="15.5" hidden="1" x14ac:dyDescent="0.35"/>
    <row r="914" ht="15.5" hidden="1" x14ac:dyDescent="0.35"/>
    <row r="915" ht="15.5" hidden="1" x14ac:dyDescent="0.35"/>
    <row r="916" ht="15.5" hidden="1" x14ac:dyDescent="0.35"/>
    <row r="917" ht="15.5" hidden="1" x14ac:dyDescent="0.35"/>
    <row r="918" ht="15.5" hidden="1" x14ac:dyDescent="0.35"/>
    <row r="919" ht="15.5" hidden="1" x14ac:dyDescent="0.35"/>
    <row r="920" ht="15.5" hidden="1" x14ac:dyDescent="0.35"/>
    <row r="921" ht="15.5" hidden="1" x14ac:dyDescent="0.35"/>
    <row r="922" ht="15.5" hidden="1" x14ac:dyDescent="0.35"/>
    <row r="923" ht="15.5" hidden="1" x14ac:dyDescent="0.35"/>
    <row r="924" ht="15.5" hidden="1" x14ac:dyDescent="0.35"/>
    <row r="925" ht="15.5" hidden="1" x14ac:dyDescent="0.35"/>
    <row r="926" ht="15.5" hidden="1" x14ac:dyDescent="0.35"/>
    <row r="927" ht="15.5" hidden="1" x14ac:dyDescent="0.35"/>
    <row r="928" ht="15.5" hidden="1" x14ac:dyDescent="0.35"/>
    <row r="929" ht="15.5" hidden="1" x14ac:dyDescent="0.35"/>
    <row r="930" ht="15.5" hidden="1" x14ac:dyDescent="0.35"/>
    <row r="931" ht="15.5" hidden="1" x14ac:dyDescent="0.35"/>
    <row r="932" ht="15.5" hidden="1" x14ac:dyDescent="0.35"/>
    <row r="933" ht="15.5" hidden="1" x14ac:dyDescent="0.35"/>
    <row r="934" ht="15.5" hidden="1" x14ac:dyDescent="0.35"/>
    <row r="935" ht="15.5" hidden="1" x14ac:dyDescent="0.35"/>
    <row r="936" ht="15.5" hidden="1" x14ac:dyDescent="0.35"/>
    <row r="937" ht="15.5" hidden="1" x14ac:dyDescent="0.35"/>
    <row r="938" ht="15.5" hidden="1" x14ac:dyDescent="0.35"/>
    <row r="939" ht="15.5" hidden="1" x14ac:dyDescent="0.35"/>
    <row r="940" ht="15.5" hidden="1" x14ac:dyDescent="0.35"/>
    <row r="941" ht="15.5" hidden="1" x14ac:dyDescent="0.35"/>
    <row r="942" ht="15.5" hidden="1" x14ac:dyDescent="0.35"/>
    <row r="943" ht="15.5" hidden="1" x14ac:dyDescent="0.35"/>
    <row r="944" ht="15.5" hidden="1" x14ac:dyDescent="0.35"/>
    <row r="945" ht="15.5" hidden="1" x14ac:dyDescent="0.35"/>
    <row r="946" ht="15.5" hidden="1" x14ac:dyDescent="0.35"/>
    <row r="947" ht="15.5" hidden="1" x14ac:dyDescent="0.35"/>
    <row r="948" ht="15.5" hidden="1" x14ac:dyDescent="0.35"/>
    <row r="949" ht="15.5" hidden="1" x14ac:dyDescent="0.35"/>
    <row r="950" ht="15.5" hidden="1" x14ac:dyDescent="0.35"/>
    <row r="951" ht="15.5" hidden="1" x14ac:dyDescent="0.35"/>
    <row r="952" ht="15.5" hidden="1" x14ac:dyDescent="0.35"/>
    <row r="953" ht="15.5" hidden="1" x14ac:dyDescent="0.35"/>
    <row r="954" ht="15.5" hidden="1" x14ac:dyDescent="0.35"/>
    <row r="955" ht="15.5" hidden="1" x14ac:dyDescent="0.35"/>
    <row r="956" ht="15.5" hidden="1" x14ac:dyDescent="0.35"/>
    <row r="957" ht="15.5" hidden="1" x14ac:dyDescent="0.35"/>
    <row r="958" ht="15.5" hidden="1" x14ac:dyDescent="0.35"/>
    <row r="959" ht="15.5" hidden="1" x14ac:dyDescent="0.35"/>
    <row r="960" ht="15.5" hidden="1" x14ac:dyDescent="0.35"/>
    <row r="961" ht="15.5" hidden="1" x14ac:dyDescent="0.35"/>
    <row r="962" ht="15.5" hidden="1" x14ac:dyDescent="0.35"/>
    <row r="963" ht="15.5" hidden="1" x14ac:dyDescent="0.35"/>
    <row r="964" ht="15.5" hidden="1" x14ac:dyDescent="0.35"/>
    <row r="965" ht="15.5" hidden="1" x14ac:dyDescent="0.35"/>
    <row r="966" ht="15.5" hidden="1" x14ac:dyDescent="0.35"/>
    <row r="967" ht="15.5" hidden="1" x14ac:dyDescent="0.35"/>
    <row r="968" ht="15.5" hidden="1" x14ac:dyDescent="0.35"/>
    <row r="969" ht="15.5" hidden="1" x14ac:dyDescent="0.35"/>
    <row r="970" ht="15.5" hidden="1" x14ac:dyDescent="0.35"/>
    <row r="971" ht="15.5" hidden="1" x14ac:dyDescent="0.35"/>
    <row r="972" ht="15.5" hidden="1" x14ac:dyDescent="0.35"/>
    <row r="973" ht="15.5" hidden="1" x14ac:dyDescent="0.35"/>
    <row r="974" ht="15.5" hidden="1" x14ac:dyDescent="0.35"/>
    <row r="975" ht="15.5" hidden="1" x14ac:dyDescent="0.35"/>
    <row r="976" ht="15.5" hidden="1" x14ac:dyDescent="0.35"/>
    <row r="977" ht="15.5" hidden="1" x14ac:dyDescent="0.35"/>
    <row r="978" ht="15.5" hidden="1" x14ac:dyDescent="0.35"/>
    <row r="979" ht="15.5" hidden="1" x14ac:dyDescent="0.35"/>
    <row r="980" ht="15.5" hidden="1" x14ac:dyDescent="0.35"/>
    <row r="981" ht="15.5" hidden="1" x14ac:dyDescent="0.35"/>
    <row r="982" ht="15.5" hidden="1" x14ac:dyDescent="0.35"/>
    <row r="983" ht="15.5" hidden="1" x14ac:dyDescent="0.35"/>
    <row r="984" ht="15.5" hidden="1" x14ac:dyDescent="0.35"/>
    <row r="985" ht="15.5" hidden="1" x14ac:dyDescent="0.35"/>
    <row r="986" ht="15.5" hidden="1" x14ac:dyDescent="0.35"/>
    <row r="987" ht="15.5" hidden="1" x14ac:dyDescent="0.35"/>
    <row r="988" ht="15.5" hidden="1" x14ac:dyDescent="0.35"/>
    <row r="989" ht="15.5" hidden="1" x14ac:dyDescent="0.35"/>
    <row r="990" ht="15.5" hidden="1" x14ac:dyDescent="0.35"/>
    <row r="991" ht="15.5" hidden="1" x14ac:dyDescent="0.35"/>
    <row r="992" ht="15.5" hidden="1" x14ac:dyDescent="0.35"/>
    <row r="993" ht="15.5" hidden="1" x14ac:dyDescent="0.35"/>
    <row r="994" ht="15.5" hidden="1" x14ac:dyDescent="0.35"/>
    <row r="995" ht="15.5" hidden="1" x14ac:dyDescent="0.35"/>
    <row r="996" ht="15.5" hidden="1" x14ac:dyDescent="0.35"/>
    <row r="997" ht="15.5" hidden="1" x14ac:dyDescent="0.35"/>
    <row r="998" ht="15.5" hidden="1" x14ac:dyDescent="0.35"/>
    <row r="999" ht="15.5" hidden="1" x14ac:dyDescent="0.35"/>
    <row r="1000" ht="15.5" hidden="1" x14ac:dyDescent="0.35"/>
    <row r="1001" ht="15.5" hidden="1" x14ac:dyDescent="0.35"/>
    <row r="1002" ht="15.5" hidden="1" x14ac:dyDescent="0.35"/>
    <row r="1003" ht="15.5" hidden="1" x14ac:dyDescent="0.35"/>
    <row r="1004" ht="15.5" hidden="1" x14ac:dyDescent="0.35"/>
    <row r="1005" ht="15.5" hidden="1" x14ac:dyDescent="0.35"/>
    <row r="1006" ht="15.5" hidden="1" x14ac:dyDescent="0.35"/>
    <row r="1007" ht="15.5" hidden="1" x14ac:dyDescent="0.35"/>
    <row r="1008" ht="15.5" hidden="1" x14ac:dyDescent="0.35"/>
    <row r="1009" ht="15.5" hidden="1" x14ac:dyDescent="0.35"/>
    <row r="1010" ht="15.5" hidden="1" x14ac:dyDescent="0.35"/>
    <row r="1011" ht="15.5" hidden="1" x14ac:dyDescent="0.35"/>
    <row r="1012" ht="15.5" hidden="1" x14ac:dyDescent="0.35"/>
    <row r="1013" ht="15.5" hidden="1" x14ac:dyDescent="0.35"/>
    <row r="1014" ht="15.5" hidden="1" x14ac:dyDescent="0.35"/>
    <row r="1015" ht="15.5" hidden="1" x14ac:dyDescent="0.35"/>
    <row r="1016" ht="15.5" hidden="1" x14ac:dyDescent="0.35"/>
    <row r="1017" ht="15.5" hidden="1" x14ac:dyDescent="0.35"/>
    <row r="1018" ht="15.5" hidden="1" x14ac:dyDescent="0.35"/>
    <row r="1019" ht="15.5" hidden="1" x14ac:dyDescent="0.35"/>
    <row r="1020" ht="15.5" hidden="1" x14ac:dyDescent="0.35"/>
    <row r="1021" ht="15.5" hidden="1" x14ac:dyDescent="0.35"/>
    <row r="1022" ht="15.5" hidden="1" x14ac:dyDescent="0.35"/>
    <row r="1023" ht="15.5" hidden="1" x14ac:dyDescent="0.35"/>
    <row r="1024" ht="15.5" hidden="1" x14ac:dyDescent="0.35"/>
    <row r="1025" ht="15.5" hidden="1" x14ac:dyDescent="0.35"/>
    <row r="1026" ht="15.5" hidden="1" x14ac:dyDescent="0.35"/>
    <row r="1027" ht="15.5" hidden="1" x14ac:dyDescent="0.35"/>
    <row r="1028" ht="15.5" hidden="1" x14ac:dyDescent="0.35"/>
    <row r="1029" ht="15.5" hidden="1" x14ac:dyDescent="0.35"/>
    <row r="1030" ht="15.5" hidden="1" x14ac:dyDescent="0.35"/>
    <row r="1031" ht="15.5" hidden="1" x14ac:dyDescent="0.35"/>
    <row r="1032" ht="15.5" hidden="1" x14ac:dyDescent="0.35"/>
    <row r="1033" ht="15.5" hidden="1" x14ac:dyDescent="0.35"/>
    <row r="1034" ht="15.5" hidden="1" x14ac:dyDescent="0.35"/>
    <row r="1035" ht="15.5" hidden="1" x14ac:dyDescent="0.35"/>
    <row r="1036" ht="15.5" hidden="1" x14ac:dyDescent="0.35"/>
    <row r="1037" ht="15.5" hidden="1" x14ac:dyDescent="0.35"/>
    <row r="1038" ht="15.5" hidden="1" x14ac:dyDescent="0.35"/>
    <row r="1039" ht="15.5" hidden="1" x14ac:dyDescent="0.35"/>
    <row r="1040" ht="15.5" hidden="1" x14ac:dyDescent="0.35"/>
    <row r="1041" ht="15.5" hidden="1" x14ac:dyDescent="0.35"/>
    <row r="1042" ht="15.5" hidden="1" x14ac:dyDescent="0.35"/>
    <row r="1043" ht="15.5" hidden="1" x14ac:dyDescent="0.35"/>
    <row r="1044" ht="15.5" hidden="1" x14ac:dyDescent="0.35"/>
    <row r="1045" ht="15.5" hidden="1" x14ac:dyDescent="0.35"/>
    <row r="1046" ht="15.5" hidden="1" x14ac:dyDescent="0.35"/>
    <row r="1047" ht="15.5" hidden="1" x14ac:dyDescent="0.35"/>
    <row r="1048" ht="15.5" hidden="1" x14ac:dyDescent="0.35"/>
    <row r="1049" ht="15.5" hidden="1" x14ac:dyDescent="0.35"/>
    <row r="1050" ht="15.5" hidden="1" x14ac:dyDescent="0.35"/>
    <row r="1051" ht="15.5" hidden="1" x14ac:dyDescent="0.35"/>
    <row r="1052" ht="15.5" hidden="1" x14ac:dyDescent="0.35"/>
    <row r="1053" ht="15.5" hidden="1" x14ac:dyDescent="0.35"/>
    <row r="1054" ht="15.5" hidden="1" x14ac:dyDescent="0.35"/>
    <row r="1055" ht="15.5" hidden="1" x14ac:dyDescent="0.35"/>
    <row r="1056" ht="15.5" hidden="1" x14ac:dyDescent="0.35"/>
    <row r="1057" ht="15.5" hidden="1" x14ac:dyDescent="0.35"/>
    <row r="1058" ht="15.5" hidden="1" x14ac:dyDescent="0.35"/>
    <row r="1059" ht="15.5" hidden="1" x14ac:dyDescent="0.35"/>
    <row r="1060" ht="15.5" hidden="1" x14ac:dyDescent="0.35"/>
    <row r="1061" ht="15.5" hidden="1" x14ac:dyDescent="0.35"/>
    <row r="1062" ht="15.5" hidden="1" x14ac:dyDescent="0.35"/>
    <row r="1063" ht="15.5" hidden="1" x14ac:dyDescent="0.35"/>
    <row r="1064" ht="15.5" hidden="1" x14ac:dyDescent="0.35"/>
    <row r="1065" ht="15.5" hidden="1" x14ac:dyDescent="0.35"/>
    <row r="1066" ht="15.5" hidden="1" x14ac:dyDescent="0.35"/>
    <row r="1067" ht="15.5" hidden="1" x14ac:dyDescent="0.35"/>
    <row r="1068" ht="15.5" hidden="1" x14ac:dyDescent="0.35"/>
    <row r="1069" ht="15.5" hidden="1" x14ac:dyDescent="0.35"/>
    <row r="1070" ht="15.5" hidden="1" x14ac:dyDescent="0.35"/>
    <row r="1071" ht="15.5" hidden="1" x14ac:dyDescent="0.35"/>
    <row r="1072" ht="15.5" hidden="1" x14ac:dyDescent="0.35"/>
    <row r="1073" ht="15.5" hidden="1" x14ac:dyDescent="0.35"/>
    <row r="1074" ht="15.5" hidden="1" x14ac:dyDescent="0.35"/>
    <row r="1075" ht="15.5" hidden="1" x14ac:dyDescent="0.35"/>
    <row r="1076" ht="15.5" hidden="1" x14ac:dyDescent="0.35"/>
    <row r="1077" ht="15.5" hidden="1" x14ac:dyDescent="0.35"/>
    <row r="1078" ht="15.5" hidden="1" x14ac:dyDescent="0.35"/>
    <row r="1079" ht="15.5" hidden="1" x14ac:dyDescent="0.35"/>
    <row r="1080" ht="15.5" hidden="1" x14ac:dyDescent="0.35"/>
    <row r="1081" ht="15.5" hidden="1" x14ac:dyDescent="0.35"/>
    <row r="1082" ht="15.5" hidden="1" x14ac:dyDescent="0.35"/>
    <row r="1083" ht="15.5" hidden="1" x14ac:dyDescent="0.35"/>
    <row r="1084" ht="15.5" hidden="1" x14ac:dyDescent="0.35"/>
    <row r="1085" ht="15.5" hidden="1" x14ac:dyDescent="0.35"/>
    <row r="1086" ht="15.5" hidden="1" x14ac:dyDescent="0.35"/>
    <row r="1087" ht="15.5" hidden="1" x14ac:dyDescent="0.35"/>
    <row r="1088" ht="15.5" hidden="1" x14ac:dyDescent="0.35"/>
    <row r="1089" ht="15.5" hidden="1" x14ac:dyDescent="0.35"/>
    <row r="1090" ht="15.5" hidden="1" x14ac:dyDescent="0.35"/>
    <row r="1091" ht="15.5" hidden="1" x14ac:dyDescent="0.35"/>
    <row r="1092" ht="15.5" hidden="1" x14ac:dyDescent="0.35"/>
    <row r="1093" ht="15.5" hidden="1" x14ac:dyDescent="0.35"/>
    <row r="1094" ht="15.5" hidden="1" x14ac:dyDescent="0.35"/>
    <row r="1095" ht="15.5" hidden="1" x14ac:dyDescent="0.35"/>
    <row r="1096" ht="15.5" hidden="1" x14ac:dyDescent="0.35"/>
    <row r="1097" ht="15.5" hidden="1" x14ac:dyDescent="0.35"/>
    <row r="1098" ht="15.5" hidden="1" x14ac:dyDescent="0.35"/>
    <row r="1099" ht="15.5" hidden="1" x14ac:dyDescent="0.35"/>
    <row r="1100" ht="15.5" hidden="1" x14ac:dyDescent="0.35"/>
    <row r="1101" ht="15.5" hidden="1" x14ac:dyDescent="0.35"/>
    <row r="1102" ht="15.5" hidden="1" x14ac:dyDescent="0.35"/>
    <row r="1103" ht="15.5" hidden="1" x14ac:dyDescent="0.35"/>
    <row r="1104" ht="15.5" hidden="1" x14ac:dyDescent="0.35"/>
    <row r="1105" ht="15.5" hidden="1" x14ac:dyDescent="0.35"/>
    <row r="1106" ht="15.5" hidden="1" x14ac:dyDescent="0.35"/>
    <row r="1107" ht="15.5" hidden="1" x14ac:dyDescent="0.35"/>
    <row r="1108" ht="15.5" hidden="1" x14ac:dyDescent="0.35"/>
    <row r="1109" ht="15.5" hidden="1" x14ac:dyDescent="0.35"/>
    <row r="1110" ht="15.5" hidden="1" x14ac:dyDescent="0.35"/>
    <row r="1111" ht="15.5" hidden="1" x14ac:dyDescent="0.35"/>
    <row r="1112" ht="15.5" hidden="1" x14ac:dyDescent="0.35"/>
    <row r="1113" ht="15.5" hidden="1" x14ac:dyDescent="0.35"/>
    <row r="1114" ht="15.5" hidden="1" x14ac:dyDescent="0.35"/>
    <row r="1115" ht="15.5" hidden="1" x14ac:dyDescent="0.35"/>
    <row r="1116" ht="15.5" hidden="1" x14ac:dyDescent="0.35"/>
    <row r="1117" ht="15.5" hidden="1" x14ac:dyDescent="0.35"/>
    <row r="1118" ht="15.5" hidden="1" x14ac:dyDescent="0.35"/>
    <row r="1119" ht="15.5" hidden="1" x14ac:dyDescent="0.35"/>
    <row r="1120" ht="15.5" hidden="1" x14ac:dyDescent="0.35"/>
    <row r="1121" ht="15.5" hidden="1" x14ac:dyDescent="0.35"/>
    <row r="1122" ht="15.5" hidden="1" x14ac:dyDescent="0.35"/>
    <row r="1123" ht="15.5" hidden="1" x14ac:dyDescent="0.35"/>
    <row r="1124" ht="15.5" hidden="1" x14ac:dyDescent="0.35"/>
    <row r="1125" ht="15.5" hidden="1" x14ac:dyDescent="0.35"/>
    <row r="1126" ht="15.5" hidden="1" x14ac:dyDescent="0.35"/>
    <row r="1127" ht="15.5" hidden="1" x14ac:dyDescent="0.35"/>
    <row r="1128" ht="15.5" hidden="1" x14ac:dyDescent="0.35"/>
    <row r="1129" ht="15.5" hidden="1" x14ac:dyDescent="0.35"/>
    <row r="1130" ht="15.5" hidden="1" x14ac:dyDescent="0.35"/>
    <row r="1131" ht="15.5" hidden="1" x14ac:dyDescent="0.35"/>
    <row r="1132" ht="15.5" hidden="1" x14ac:dyDescent="0.35"/>
    <row r="1133" ht="15.5" hidden="1" x14ac:dyDescent="0.35"/>
    <row r="1134" ht="15.5" hidden="1" x14ac:dyDescent="0.35"/>
    <row r="1135" ht="15.5" hidden="1" x14ac:dyDescent="0.35"/>
    <row r="1136" ht="15.5" hidden="1" x14ac:dyDescent="0.35"/>
    <row r="1137" ht="15.5" hidden="1" x14ac:dyDescent="0.35"/>
    <row r="1138" ht="15.5" hidden="1" x14ac:dyDescent="0.35"/>
    <row r="1139" ht="15.5" hidden="1" x14ac:dyDescent="0.35"/>
    <row r="1140" ht="15.5" hidden="1" x14ac:dyDescent="0.35"/>
    <row r="1141" ht="15.5" hidden="1" x14ac:dyDescent="0.35"/>
    <row r="1142" ht="15.5" hidden="1" x14ac:dyDescent="0.35"/>
    <row r="1143" ht="15.5" hidden="1" x14ac:dyDescent="0.35"/>
    <row r="1144" ht="15.5" hidden="1" x14ac:dyDescent="0.35"/>
    <row r="1145" ht="15.5" hidden="1" x14ac:dyDescent="0.35"/>
    <row r="1146" ht="15.5" hidden="1" x14ac:dyDescent="0.35"/>
    <row r="1147" ht="15.5" hidden="1" x14ac:dyDescent="0.35"/>
    <row r="1148" ht="15.5" hidden="1" x14ac:dyDescent="0.35"/>
    <row r="1149" ht="15.5" hidden="1" x14ac:dyDescent="0.35"/>
    <row r="1150" ht="15.5" hidden="1" x14ac:dyDescent="0.35"/>
    <row r="1151" ht="15.5" hidden="1" x14ac:dyDescent="0.35"/>
    <row r="1152" ht="15.5" hidden="1" x14ac:dyDescent="0.35"/>
    <row r="1153" ht="15.5" hidden="1" x14ac:dyDescent="0.35"/>
    <row r="1154" ht="15.5" hidden="1" x14ac:dyDescent="0.35"/>
    <row r="1155" ht="15.5" hidden="1" x14ac:dyDescent="0.35"/>
    <row r="1156" ht="15.5" hidden="1" x14ac:dyDescent="0.35"/>
    <row r="1157" ht="15.5" hidden="1" x14ac:dyDescent="0.35"/>
    <row r="1158" ht="15.5" hidden="1" x14ac:dyDescent="0.35"/>
    <row r="1159" ht="15.5" hidden="1" x14ac:dyDescent="0.35"/>
    <row r="1160" ht="15.5" hidden="1" x14ac:dyDescent="0.35"/>
    <row r="1161" ht="15.5" hidden="1" x14ac:dyDescent="0.35"/>
    <row r="1162" ht="15.5" hidden="1" x14ac:dyDescent="0.35"/>
    <row r="1163" ht="15.5" hidden="1" x14ac:dyDescent="0.35"/>
    <row r="1164" ht="15.5" hidden="1" x14ac:dyDescent="0.35"/>
    <row r="1165" ht="15.5" hidden="1" x14ac:dyDescent="0.35"/>
    <row r="1166" ht="15.5" hidden="1" x14ac:dyDescent="0.35"/>
    <row r="1167" ht="15.5" hidden="1" x14ac:dyDescent="0.35"/>
    <row r="1168" ht="15.5" hidden="1" x14ac:dyDescent="0.35"/>
    <row r="1169" ht="15.5" hidden="1" x14ac:dyDescent="0.35"/>
    <row r="1170" ht="15.5" hidden="1" x14ac:dyDescent="0.35"/>
    <row r="1171" ht="15.5" hidden="1" x14ac:dyDescent="0.35"/>
    <row r="1172" ht="15.5" hidden="1" x14ac:dyDescent="0.35"/>
    <row r="1173" ht="15.5" hidden="1" x14ac:dyDescent="0.35"/>
    <row r="1174" ht="15.5" hidden="1" x14ac:dyDescent="0.35"/>
    <row r="1175" ht="15.5" hidden="1" x14ac:dyDescent="0.35"/>
    <row r="1176" ht="15.5" hidden="1" x14ac:dyDescent="0.35"/>
    <row r="1177" ht="15.5" hidden="1" x14ac:dyDescent="0.35"/>
    <row r="1178" ht="15.5" hidden="1" x14ac:dyDescent="0.35"/>
    <row r="1179" ht="15.5" hidden="1" x14ac:dyDescent="0.35"/>
    <row r="1180" ht="15.5" hidden="1" x14ac:dyDescent="0.35"/>
    <row r="1181" ht="15.5" hidden="1" x14ac:dyDescent="0.35"/>
    <row r="1182" ht="15.5" hidden="1" x14ac:dyDescent="0.35"/>
    <row r="1183" ht="15.5" hidden="1" x14ac:dyDescent="0.35"/>
    <row r="1184" ht="15.5" hidden="1" x14ac:dyDescent="0.35"/>
    <row r="1185" ht="15.5" hidden="1" x14ac:dyDescent="0.35"/>
    <row r="1186" ht="15.5" hidden="1" x14ac:dyDescent="0.35"/>
    <row r="1187" ht="15.5" hidden="1" x14ac:dyDescent="0.35"/>
    <row r="1188" ht="15.5" hidden="1" x14ac:dyDescent="0.35"/>
    <row r="1189" ht="15.5" hidden="1" x14ac:dyDescent="0.35"/>
    <row r="1190" ht="15.5" hidden="1" x14ac:dyDescent="0.35"/>
    <row r="1191" ht="15.5" hidden="1" x14ac:dyDescent="0.35"/>
    <row r="1192" ht="15.5" hidden="1" x14ac:dyDescent="0.35"/>
    <row r="1193" ht="15.5" hidden="1" x14ac:dyDescent="0.35"/>
    <row r="1194" ht="15.5" hidden="1" x14ac:dyDescent="0.35"/>
    <row r="1195" ht="15.5" hidden="1" x14ac:dyDescent="0.35"/>
    <row r="1196" ht="15.5" hidden="1" x14ac:dyDescent="0.35"/>
    <row r="1197" ht="15.5" hidden="1" x14ac:dyDescent="0.35"/>
    <row r="1198" ht="15.5" hidden="1" x14ac:dyDescent="0.35"/>
    <row r="1199" ht="15.5" hidden="1" x14ac:dyDescent="0.35"/>
    <row r="1200" ht="15.5" hidden="1" x14ac:dyDescent="0.35"/>
    <row r="1201" ht="15.5" hidden="1" x14ac:dyDescent="0.35"/>
    <row r="1202" ht="15.5" hidden="1" x14ac:dyDescent="0.35"/>
    <row r="1203" ht="15.5" hidden="1" x14ac:dyDescent="0.35"/>
    <row r="1204" ht="15.5" hidden="1" x14ac:dyDescent="0.35"/>
    <row r="1205" ht="15.5" hidden="1" x14ac:dyDescent="0.35"/>
    <row r="1206" ht="15.5" hidden="1" x14ac:dyDescent="0.35"/>
    <row r="1207" ht="15.5" hidden="1" x14ac:dyDescent="0.35"/>
    <row r="1208" ht="15.5" hidden="1" x14ac:dyDescent="0.35"/>
    <row r="1209" ht="15.5" hidden="1" x14ac:dyDescent="0.35"/>
    <row r="1210" ht="15.5" hidden="1" x14ac:dyDescent="0.35"/>
    <row r="1211" ht="15.5" hidden="1" x14ac:dyDescent="0.35"/>
    <row r="1212" ht="15.5" hidden="1" x14ac:dyDescent="0.35"/>
    <row r="1213" ht="15.5" hidden="1" x14ac:dyDescent="0.35"/>
    <row r="1214" ht="15.5" hidden="1" x14ac:dyDescent="0.35"/>
    <row r="1215" ht="15.5" hidden="1" x14ac:dyDescent="0.35"/>
    <row r="1216" ht="15.5" hidden="1" x14ac:dyDescent="0.35"/>
    <row r="1217" spans="14:16" ht="15.5" hidden="1" x14ac:dyDescent="0.35"/>
    <row r="1218" spans="14:16" ht="15.5" hidden="1" x14ac:dyDescent="0.35"/>
    <row r="1219" spans="14:16" ht="15.5" hidden="1" x14ac:dyDescent="0.35"/>
    <row r="1220" spans="14:16" ht="15.5" hidden="1" x14ac:dyDescent="0.35"/>
    <row r="1221" spans="14:16" ht="15.5" hidden="1" x14ac:dyDescent="0.35"/>
    <row r="1222" spans="14:16" ht="15.75" hidden="1" customHeight="1" x14ac:dyDescent="0.35">
      <c r="N1222" s="999" t="s">
        <v>340</v>
      </c>
      <c r="O1222" s="1000"/>
      <c r="P1222" s="1001"/>
    </row>
    <row r="1223" spans="14:16" ht="15.75" hidden="1" customHeight="1" x14ac:dyDescent="0.35">
      <c r="N1223" s="1002"/>
      <c r="O1223" s="1003"/>
      <c r="P1223" s="1004"/>
    </row>
    <row r="1224" spans="14:16" ht="15.5" hidden="1" x14ac:dyDescent="0.35"/>
    <row r="1225" spans="14:16" ht="16" hidden="1" thickBot="1" x14ac:dyDescent="0.4"/>
    <row r="1226" spans="14:16" ht="21.5" hidden="1" thickBot="1" x14ac:dyDescent="0.4">
      <c r="N1226" s="854" t="s">
        <v>101</v>
      </c>
    </row>
    <row r="1227" spans="14:16" ht="15.5" hidden="1" x14ac:dyDescent="0.35"/>
    <row r="1228" spans="14:16" ht="15.5" hidden="1" x14ac:dyDescent="0.35"/>
    <row r="1229" spans="14:16" ht="15.5" hidden="1" x14ac:dyDescent="0.35"/>
    <row r="1230" spans="14:16" ht="15.5" hidden="1" x14ac:dyDescent="0.35"/>
    <row r="1231" spans="14:16" ht="15.5" hidden="1" x14ac:dyDescent="0.35"/>
    <row r="1232" spans="14:16" ht="15.5" hidden="1" x14ac:dyDescent="0.35"/>
    <row r="1233" ht="15.5" hidden="1" x14ac:dyDescent="0.35"/>
    <row r="1234" ht="15.5" hidden="1" x14ac:dyDescent="0.35"/>
    <row r="1235" ht="15.5" hidden="1" x14ac:dyDescent="0.35"/>
    <row r="1236" ht="15.5" hidden="1" x14ac:dyDescent="0.35"/>
    <row r="1237" ht="15.5" hidden="1" x14ac:dyDescent="0.35"/>
    <row r="1238" ht="15.5" hidden="1" x14ac:dyDescent="0.35"/>
    <row r="1239" ht="15.5" hidden="1" x14ac:dyDescent="0.35"/>
    <row r="1240" ht="15.5" hidden="1" x14ac:dyDescent="0.35"/>
    <row r="1241" ht="15.5" hidden="1" x14ac:dyDescent="0.35"/>
    <row r="1242" ht="15.5" hidden="1" x14ac:dyDescent="0.35"/>
    <row r="1243" ht="15.5" hidden="1" x14ac:dyDescent="0.35"/>
    <row r="1244" ht="15.5" hidden="1" x14ac:dyDescent="0.35"/>
    <row r="1245" ht="15.5" hidden="1" x14ac:dyDescent="0.35"/>
    <row r="1246" ht="15.5" hidden="1" x14ac:dyDescent="0.35"/>
    <row r="1247" ht="15.5" hidden="1" x14ac:dyDescent="0.35"/>
    <row r="1248" ht="15.5" hidden="1" x14ac:dyDescent="0.35"/>
    <row r="1249" ht="15.5" hidden="1" x14ac:dyDescent="0.35"/>
    <row r="1250" ht="15.5" hidden="1" x14ac:dyDescent="0.35"/>
    <row r="1251" ht="15.5" x14ac:dyDescent="0.35"/>
    <row r="1252" ht="15.5" x14ac:dyDescent="0.35"/>
    <row r="1253" ht="15.5" x14ac:dyDescent="0.35"/>
    <row r="1254" ht="15.5" x14ac:dyDescent="0.35"/>
    <row r="1255" ht="15.5" x14ac:dyDescent="0.35"/>
    <row r="1256" ht="15.5" x14ac:dyDescent="0.35"/>
    <row r="1257" ht="15.5" x14ac:dyDescent="0.35"/>
    <row r="1258" ht="15.5" x14ac:dyDescent="0.35"/>
    <row r="1259" ht="15.5" x14ac:dyDescent="0.35"/>
    <row r="1260" ht="15.5" x14ac:dyDescent="0.35"/>
    <row r="1261" ht="15.5" x14ac:dyDescent="0.35"/>
    <row r="1262" ht="15.5" x14ac:dyDescent="0.35"/>
    <row r="1263" ht="15.5" x14ac:dyDescent="0.35"/>
    <row r="1264" ht="15.5" x14ac:dyDescent="0.35"/>
    <row r="1265" ht="15.5" x14ac:dyDescent="0.35"/>
    <row r="1266" ht="15.5" x14ac:dyDescent="0.35"/>
    <row r="1267" ht="15.5" x14ac:dyDescent="0.35"/>
    <row r="1268" ht="15.5" x14ac:dyDescent="0.35"/>
    <row r="1269" ht="15.5" x14ac:dyDescent="0.35"/>
    <row r="1270" ht="15.5" x14ac:dyDescent="0.35"/>
    <row r="1271" ht="15.5" x14ac:dyDescent="0.35"/>
    <row r="1272" ht="15.5" x14ac:dyDescent="0.35"/>
    <row r="1273" ht="15.5" x14ac:dyDescent="0.35"/>
    <row r="1274" ht="15.5" x14ac:dyDescent="0.35"/>
    <row r="1275" ht="15.5" x14ac:dyDescent="0.35"/>
    <row r="1276" ht="15.5" x14ac:dyDescent="0.35"/>
    <row r="1277" ht="15.5" x14ac:dyDescent="0.35"/>
    <row r="1278" ht="15.5" x14ac:dyDescent="0.35"/>
    <row r="1279" ht="15.5" x14ac:dyDescent="0.35"/>
    <row r="1280" ht="15.5" x14ac:dyDescent="0.35"/>
    <row r="1281" ht="15.5" x14ac:dyDescent="0.35"/>
    <row r="1282" ht="15.5" x14ac:dyDescent="0.35"/>
    <row r="1283" ht="15.5" x14ac:dyDescent="0.35"/>
    <row r="1284" ht="15.5" x14ac:dyDescent="0.35"/>
    <row r="1285" ht="15.5" x14ac:dyDescent="0.35"/>
    <row r="1286" ht="15.5" x14ac:dyDescent="0.35"/>
    <row r="1287" ht="15.5" x14ac:dyDescent="0.35"/>
    <row r="1288" ht="15.5" x14ac:dyDescent="0.35"/>
    <row r="1289" ht="15.5" x14ac:dyDescent="0.35"/>
    <row r="1290" ht="15.5" x14ac:dyDescent="0.35"/>
    <row r="1291" ht="15.5" x14ac:dyDescent="0.35"/>
    <row r="1292" ht="15.5" x14ac:dyDescent="0.35"/>
    <row r="1293" ht="15.5" x14ac:dyDescent="0.35"/>
    <row r="1294" ht="15.5" x14ac:dyDescent="0.35"/>
    <row r="1295" ht="15.5" x14ac:dyDescent="0.35"/>
    <row r="1296" ht="15.5" x14ac:dyDescent="0.35"/>
    <row r="1297" ht="15.5" x14ac:dyDescent="0.35"/>
    <row r="1298" ht="15.5" x14ac:dyDescent="0.35"/>
    <row r="1299" ht="15.5" x14ac:dyDescent="0.35"/>
    <row r="1300" ht="15.5" x14ac:dyDescent="0.35"/>
    <row r="1301" ht="15.5" x14ac:dyDescent="0.35"/>
    <row r="1302" ht="15.5" x14ac:dyDescent="0.35"/>
    <row r="1303" ht="15.5" x14ac:dyDescent="0.35"/>
    <row r="1304" ht="15.5" x14ac:dyDescent="0.35"/>
    <row r="1305" ht="15.5" x14ac:dyDescent="0.35"/>
    <row r="1306" ht="15.5" x14ac:dyDescent="0.35"/>
    <row r="1307" ht="15.5" x14ac:dyDescent="0.35"/>
    <row r="1308" ht="15.5" x14ac:dyDescent="0.35"/>
    <row r="1309" ht="15.5" x14ac:dyDescent="0.35"/>
    <row r="1310" ht="15.5" x14ac:dyDescent="0.35"/>
    <row r="1311" ht="15.5" x14ac:dyDescent="0.35"/>
    <row r="1312" ht="15.5" x14ac:dyDescent="0.35"/>
    <row r="1313" ht="15.5" x14ac:dyDescent="0.35"/>
    <row r="1314" ht="15.5" x14ac:dyDescent="0.35"/>
    <row r="1315" ht="15.5" x14ac:dyDescent="0.35"/>
    <row r="1316" ht="15.5" x14ac:dyDescent="0.35"/>
    <row r="1317" ht="15.5" x14ac:dyDescent="0.35"/>
    <row r="1318" ht="15.5" x14ac:dyDescent="0.35"/>
    <row r="1319" ht="15.5" x14ac:dyDescent="0.35"/>
    <row r="1320" ht="15.5" x14ac:dyDescent="0.35"/>
    <row r="1321" ht="15.5" x14ac:dyDescent="0.35"/>
    <row r="1322" ht="15.5" x14ac:dyDescent="0.35"/>
    <row r="1323" ht="15.5" x14ac:dyDescent="0.35"/>
    <row r="1324" ht="15.5" x14ac:dyDescent="0.35"/>
    <row r="1325" ht="15.5" x14ac:dyDescent="0.35"/>
    <row r="1326" ht="15.5" x14ac:dyDescent="0.35"/>
    <row r="1327" ht="15.5" x14ac:dyDescent="0.35"/>
    <row r="1328" ht="15.5" x14ac:dyDescent="0.35"/>
    <row r="1329" ht="15.5" x14ac:dyDescent="0.35"/>
    <row r="1330" ht="15.5" x14ac:dyDescent="0.35"/>
    <row r="1331" ht="15.5" x14ac:dyDescent="0.35"/>
    <row r="1332" ht="15.5" x14ac:dyDescent="0.35"/>
    <row r="1333" ht="15.5" x14ac:dyDescent="0.35"/>
    <row r="1334" ht="15.5" x14ac:dyDescent="0.35"/>
    <row r="1335" ht="15.5" x14ac:dyDescent="0.35"/>
    <row r="1336" ht="15.5" x14ac:dyDescent="0.35"/>
    <row r="1337" ht="15.5" x14ac:dyDescent="0.35"/>
    <row r="1338" ht="15.5" x14ac:dyDescent="0.35"/>
    <row r="1339" ht="15.5" x14ac:dyDescent="0.35"/>
    <row r="1340" ht="15.5" x14ac:dyDescent="0.35"/>
    <row r="1341" ht="15.5" x14ac:dyDescent="0.35"/>
    <row r="1342" ht="15.5" x14ac:dyDescent="0.35"/>
    <row r="1343" ht="15.5" x14ac:dyDescent="0.35"/>
    <row r="1344" ht="15.5" x14ac:dyDescent="0.35"/>
    <row r="1345" ht="15.5" x14ac:dyDescent="0.35"/>
    <row r="1346" ht="15.5" x14ac:dyDescent="0.35"/>
    <row r="1347" ht="15.5" x14ac:dyDescent="0.35"/>
    <row r="1348" ht="15.5" x14ac:dyDescent="0.35"/>
    <row r="1349" ht="15.5" x14ac:dyDescent="0.35"/>
    <row r="1350" ht="15.5" x14ac:dyDescent="0.35"/>
    <row r="1351" ht="15.5" x14ac:dyDescent="0.35"/>
    <row r="1352" ht="15.5" x14ac:dyDescent="0.35"/>
    <row r="1353" ht="15.5" x14ac:dyDescent="0.35"/>
    <row r="1354" ht="15.5" x14ac:dyDescent="0.35"/>
    <row r="1355" ht="15.5" x14ac:dyDescent="0.35"/>
    <row r="1356" ht="15.5" x14ac:dyDescent="0.35"/>
    <row r="1357" ht="15.5" x14ac:dyDescent="0.35"/>
    <row r="1358" ht="15.5" x14ac:dyDescent="0.35"/>
    <row r="1359" ht="15.5" x14ac:dyDescent="0.35"/>
    <row r="1360" ht="15.5" x14ac:dyDescent="0.35"/>
    <row r="1361" ht="15.5" x14ac:dyDescent="0.35"/>
    <row r="1362" ht="15.5" x14ac:dyDescent="0.35"/>
    <row r="1363" ht="15.5" x14ac:dyDescent="0.35"/>
    <row r="1364" ht="15.5" x14ac:dyDescent="0.35"/>
    <row r="1365" ht="15.5" x14ac:dyDescent="0.35"/>
    <row r="1366" ht="15.5" x14ac:dyDescent="0.35"/>
    <row r="1367" ht="15.5" x14ac:dyDescent="0.35"/>
    <row r="1368" ht="15.5" x14ac:dyDescent="0.35"/>
    <row r="1369" ht="15.5" x14ac:dyDescent="0.35"/>
    <row r="1370" ht="15.5" x14ac:dyDescent="0.35"/>
    <row r="1371" ht="15.5" x14ac:dyDescent="0.35"/>
    <row r="1372" ht="15.5" x14ac:dyDescent="0.35"/>
    <row r="1373" ht="15.5" x14ac:dyDescent="0.35"/>
    <row r="1374" ht="15.5" x14ac:dyDescent="0.35"/>
    <row r="1375" ht="15.5" x14ac:dyDescent="0.35"/>
    <row r="1376" ht="15.5" x14ac:dyDescent="0.35"/>
    <row r="1377" ht="15.5" x14ac:dyDescent="0.35"/>
    <row r="1378" ht="15.5" x14ac:dyDescent="0.35"/>
    <row r="1379" ht="15.5" x14ac:dyDescent="0.35"/>
    <row r="1380" ht="15.5" x14ac:dyDescent="0.35"/>
    <row r="1381" ht="15.5" x14ac:dyDescent="0.35"/>
    <row r="1382" ht="15.5" x14ac:dyDescent="0.35"/>
    <row r="1383" ht="15.5" x14ac:dyDescent="0.35"/>
    <row r="1384" ht="15.5" x14ac:dyDescent="0.35"/>
    <row r="1385" ht="15.5" x14ac:dyDescent="0.35"/>
    <row r="1386" ht="15.5" x14ac:dyDescent="0.35"/>
    <row r="1387" ht="15.5" x14ac:dyDescent="0.35"/>
    <row r="1388" ht="15.5" x14ac:dyDescent="0.35"/>
    <row r="1389" ht="15.5" x14ac:dyDescent="0.35"/>
    <row r="1390" ht="15.5" x14ac:dyDescent="0.35"/>
    <row r="1391" ht="15.5" x14ac:dyDescent="0.35"/>
    <row r="1392" ht="15.5" x14ac:dyDescent="0.35"/>
    <row r="1393" ht="15.5" x14ac:dyDescent="0.35"/>
    <row r="1394" ht="15.5" x14ac:dyDescent="0.35"/>
    <row r="1395" ht="15.5" x14ac:dyDescent="0.35"/>
    <row r="1396" ht="15.5" x14ac:dyDescent="0.35"/>
    <row r="1397" ht="15.5" x14ac:dyDescent="0.35"/>
    <row r="1398" ht="15.5" x14ac:dyDescent="0.35"/>
    <row r="1399" ht="15.5" x14ac:dyDescent="0.35"/>
    <row r="1400" ht="15.5" x14ac:dyDescent="0.35"/>
    <row r="1401" ht="15.5" x14ac:dyDescent="0.35"/>
    <row r="1402" ht="15.5" x14ac:dyDescent="0.35"/>
    <row r="1403" ht="15.5" x14ac:dyDescent="0.35"/>
    <row r="1404" ht="15.5" x14ac:dyDescent="0.35"/>
    <row r="1405" ht="15.5" x14ac:dyDescent="0.35"/>
    <row r="1406" ht="15.5" x14ac:dyDescent="0.35"/>
    <row r="1407" ht="15.5" x14ac:dyDescent="0.35"/>
    <row r="1408" ht="15.5" x14ac:dyDescent="0.35"/>
    <row r="1409" ht="15.5" x14ac:dyDescent="0.35"/>
    <row r="1410" ht="15.5" x14ac:dyDescent="0.35"/>
    <row r="1411" ht="15.5" x14ac:dyDescent="0.35"/>
    <row r="1412" ht="15.5" x14ac:dyDescent="0.35"/>
    <row r="1413" ht="15.5" x14ac:dyDescent="0.35"/>
    <row r="1414" ht="15.5" x14ac:dyDescent="0.35"/>
    <row r="1415" ht="15.5" x14ac:dyDescent="0.35"/>
    <row r="1416" ht="15.5" x14ac:dyDescent="0.35"/>
    <row r="1417" ht="15.5" x14ac:dyDescent="0.35"/>
    <row r="1418" ht="15.5" x14ac:dyDescent="0.35"/>
    <row r="1419" ht="15.5" x14ac:dyDescent="0.35"/>
    <row r="1420" ht="15.5" x14ac:dyDescent="0.35"/>
    <row r="1421" ht="15.5" x14ac:dyDescent="0.35"/>
    <row r="1422" ht="15.5" x14ac:dyDescent="0.35"/>
    <row r="1423" ht="15.5" x14ac:dyDescent="0.35"/>
    <row r="1424" ht="15.5" x14ac:dyDescent="0.35"/>
    <row r="1425" ht="15.5" x14ac:dyDescent="0.35"/>
    <row r="1426" ht="15.5" x14ac:dyDescent="0.35"/>
    <row r="1427" ht="15.5" x14ac:dyDescent="0.35"/>
    <row r="1428" ht="15.5" x14ac:dyDescent="0.35"/>
    <row r="1429" ht="15.5" x14ac:dyDescent="0.35"/>
    <row r="1430" ht="15.5" x14ac:dyDescent="0.35"/>
    <row r="1431" ht="15.5" x14ac:dyDescent="0.35"/>
    <row r="1432" ht="15.5" x14ac:dyDescent="0.35"/>
    <row r="1433" ht="15.5" x14ac:dyDescent="0.35"/>
    <row r="1434" ht="15.5" x14ac:dyDescent="0.35"/>
    <row r="1435" ht="15.5" x14ac:dyDescent="0.35"/>
    <row r="1436" ht="15.5" x14ac:dyDescent="0.35"/>
    <row r="1437" ht="15.5" x14ac:dyDescent="0.35"/>
    <row r="1438" ht="15.5" x14ac:dyDescent="0.35"/>
    <row r="1439" ht="15.5" x14ac:dyDescent="0.35"/>
    <row r="1440" ht="15.5" x14ac:dyDescent="0.35"/>
    <row r="1441" ht="15.5" x14ac:dyDescent="0.35"/>
    <row r="1442" ht="15.5" x14ac:dyDescent="0.35"/>
    <row r="1443" ht="15.5" x14ac:dyDescent="0.35"/>
    <row r="1444" ht="15.5" x14ac:dyDescent="0.35"/>
    <row r="1445" ht="15.5" x14ac:dyDescent="0.35"/>
    <row r="1446" ht="15.5" x14ac:dyDescent="0.35"/>
    <row r="1447" ht="15.5" x14ac:dyDescent="0.35"/>
    <row r="1448" ht="15.5" x14ac:dyDescent="0.35"/>
    <row r="1449" ht="15.5" x14ac:dyDescent="0.35"/>
    <row r="1450" ht="15.5" x14ac:dyDescent="0.35"/>
    <row r="1451" ht="15.5" x14ac:dyDescent="0.35"/>
    <row r="1452" ht="15.5" x14ac:dyDescent="0.35"/>
    <row r="1453" ht="15.5" x14ac:dyDescent="0.35"/>
    <row r="1454" ht="15.5" x14ac:dyDescent="0.35"/>
    <row r="1455" ht="15.5" x14ac:dyDescent="0.35"/>
    <row r="1456" ht="15.5" x14ac:dyDescent="0.35"/>
    <row r="1457" ht="15.5" x14ac:dyDescent="0.35"/>
    <row r="1458" ht="15.5" x14ac:dyDescent="0.35"/>
    <row r="1459" ht="15.5" x14ac:dyDescent="0.35"/>
    <row r="1460" ht="15.5" x14ac:dyDescent="0.35"/>
    <row r="1461" ht="15.5" x14ac:dyDescent="0.35"/>
    <row r="1462" ht="15.5" x14ac:dyDescent="0.35"/>
    <row r="1463" ht="15.5" x14ac:dyDescent="0.35"/>
    <row r="1464" ht="15.5" x14ac:dyDescent="0.35"/>
    <row r="1465" ht="15.5" x14ac:dyDescent="0.35"/>
    <row r="1466" ht="15.5" x14ac:dyDescent="0.35"/>
    <row r="1467" ht="15.5" x14ac:dyDescent="0.35"/>
    <row r="1468" ht="15.5" x14ac:dyDescent="0.35"/>
    <row r="1469" ht="15.5" x14ac:dyDescent="0.35"/>
    <row r="1470" ht="15.5" x14ac:dyDescent="0.35"/>
    <row r="1471" ht="15.5" x14ac:dyDescent="0.35"/>
    <row r="1472" ht="15.5" x14ac:dyDescent="0.35"/>
    <row r="1473" ht="15.5" x14ac:dyDescent="0.35"/>
    <row r="1474" ht="15.5" x14ac:dyDescent="0.35"/>
    <row r="1475" ht="15.5" x14ac:dyDescent="0.35"/>
    <row r="1476" ht="15.5" x14ac:dyDescent="0.35"/>
    <row r="1477" ht="15.5" x14ac:dyDescent="0.35"/>
    <row r="1478" ht="15.5" x14ac:dyDescent="0.35"/>
    <row r="1479" ht="15.5" x14ac:dyDescent="0.35"/>
    <row r="1480" ht="15.5" x14ac:dyDescent="0.35"/>
    <row r="1481" ht="15.5" x14ac:dyDescent="0.35"/>
    <row r="1482" ht="15.5" x14ac:dyDescent="0.35"/>
    <row r="1483" ht="15.5" x14ac:dyDescent="0.35"/>
    <row r="1484" ht="15.5" x14ac:dyDescent="0.35"/>
    <row r="1485" ht="15.5" x14ac:dyDescent="0.35"/>
    <row r="1486" ht="15.5" x14ac:dyDescent="0.35"/>
    <row r="1487" ht="15.5" x14ac:dyDescent="0.35"/>
    <row r="1488" ht="15.5" x14ac:dyDescent="0.35"/>
    <row r="1489" ht="15.5" x14ac:dyDescent="0.35"/>
    <row r="1490" ht="15.5" x14ac:dyDescent="0.35"/>
    <row r="1491" ht="15.5" x14ac:dyDescent="0.35"/>
    <row r="1492" ht="15.5" x14ac:dyDescent="0.35"/>
    <row r="1493" ht="15.5" x14ac:dyDescent="0.35"/>
    <row r="1494" ht="15.5" x14ac:dyDescent="0.35"/>
    <row r="1495" ht="15.5" x14ac:dyDescent="0.35"/>
    <row r="1496" ht="15.5" x14ac:dyDescent="0.35"/>
    <row r="1497" ht="15.5" x14ac:dyDescent="0.35"/>
    <row r="1498" ht="15.5" x14ac:dyDescent="0.35"/>
    <row r="1499" ht="15.5" x14ac:dyDescent="0.35"/>
    <row r="1500" ht="15.5" x14ac:dyDescent="0.35"/>
    <row r="1501" ht="15.5" x14ac:dyDescent="0.35"/>
    <row r="1502" ht="15.5" x14ac:dyDescent="0.35"/>
    <row r="1503" ht="15.5" x14ac:dyDescent="0.35"/>
    <row r="1504" ht="15.5" x14ac:dyDescent="0.35"/>
    <row r="1505" ht="15.5" x14ac:dyDescent="0.35"/>
    <row r="1506" ht="15.5" x14ac:dyDescent="0.35"/>
    <row r="1507" ht="15.5" x14ac:dyDescent="0.35"/>
    <row r="1508" ht="15.5" x14ac:dyDescent="0.35"/>
    <row r="1509" ht="15.5" x14ac:dyDescent="0.35"/>
    <row r="1510" ht="15.5" x14ac:dyDescent="0.35"/>
    <row r="1511" ht="15.5" x14ac:dyDescent="0.35"/>
    <row r="1512" ht="15.5" x14ac:dyDescent="0.35"/>
    <row r="1513" ht="15.5" x14ac:dyDescent="0.35"/>
    <row r="1514" ht="15.5" x14ac:dyDescent="0.35"/>
    <row r="1515" ht="15.5" x14ac:dyDescent="0.35"/>
    <row r="1516" ht="15.5" x14ac:dyDescent="0.35"/>
    <row r="1517" ht="15.5" x14ac:dyDescent="0.35"/>
    <row r="1518" ht="15.5" x14ac:dyDescent="0.35"/>
    <row r="1519" ht="15.5" x14ac:dyDescent="0.35"/>
    <row r="1520" ht="15.5" x14ac:dyDescent="0.35"/>
    <row r="1521" ht="15.5" x14ac:dyDescent="0.35"/>
    <row r="1522" ht="15.5" x14ac:dyDescent="0.35"/>
    <row r="1523" ht="15.5" x14ac:dyDescent="0.35"/>
    <row r="1524" ht="15.5" x14ac:dyDescent="0.35"/>
    <row r="1525" ht="15.5" x14ac:dyDescent="0.35"/>
    <row r="1526" ht="15.5" x14ac:dyDescent="0.35"/>
    <row r="1527" ht="15.5" x14ac:dyDescent="0.35"/>
    <row r="1528" ht="15.5" x14ac:dyDescent="0.35"/>
    <row r="1529" ht="15.5" x14ac:dyDescent="0.35"/>
    <row r="1530" ht="15.5" x14ac:dyDescent="0.35"/>
    <row r="1531" ht="15.5" x14ac:dyDescent="0.35"/>
    <row r="1532" ht="15.5" x14ac:dyDescent="0.35"/>
    <row r="1533" ht="15.5" x14ac:dyDescent="0.35"/>
    <row r="1534" ht="15.5" x14ac:dyDescent="0.35"/>
    <row r="1535" ht="15.5" x14ac:dyDescent="0.35"/>
    <row r="1536" ht="15.5" x14ac:dyDescent="0.35"/>
    <row r="1537" ht="15.5" x14ac:dyDescent="0.35"/>
    <row r="1538" ht="15.5" x14ac:dyDescent="0.35"/>
    <row r="1539" ht="15.5" x14ac:dyDescent="0.35"/>
    <row r="1540" ht="15.5" x14ac:dyDescent="0.35"/>
    <row r="1541" ht="15.5" x14ac:dyDescent="0.35"/>
    <row r="1542" ht="15.5" x14ac:dyDescent="0.35"/>
    <row r="1543" ht="15.5" x14ac:dyDescent="0.35"/>
    <row r="1544" ht="15.5" x14ac:dyDescent="0.35"/>
    <row r="1545" ht="15.5" x14ac:dyDescent="0.35"/>
    <row r="1546" ht="15.5" x14ac:dyDescent="0.35"/>
    <row r="1547" ht="15.5" x14ac:dyDescent="0.35"/>
    <row r="1548" ht="15.5" x14ac:dyDescent="0.35"/>
    <row r="1549" ht="15.5" x14ac:dyDescent="0.35"/>
    <row r="1550" ht="15.5" x14ac:dyDescent="0.35"/>
    <row r="1551" ht="15.5" x14ac:dyDescent="0.35"/>
    <row r="1552" ht="15.5" x14ac:dyDescent="0.35"/>
    <row r="1553" ht="15.5" x14ac:dyDescent="0.35"/>
    <row r="1554" ht="15.5" x14ac:dyDescent="0.35"/>
    <row r="1555" ht="15.5" x14ac:dyDescent="0.35"/>
    <row r="1556" ht="15.5" x14ac:dyDescent="0.35"/>
    <row r="1557" ht="15.5" x14ac:dyDescent="0.35"/>
    <row r="1558" ht="15.5" x14ac:dyDescent="0.35"/>
    <row r="1559" ht="15.5" x14ac:dyDescent="0.35"/>
    <row r="1560" ht="15.5" x14ac:dyDescent="0.35"/>
    <row r="1561" ht="15.5" x14ac:dyDescent="0.35"/>
    <row r="1562" ht="15.5" x14ac:dyDescent="0.35"/>
    <row r="1563" ht="15.5" x14ac:dyDescent="0.35"/>
    <row r="1564" ht="15.5" x14ac:dyDescent="0.35"/>
    <row r="1565" ht="15.5" x14ac:dyDescent="0.35"/>
    <row r="1566" ht="15.5" x14ac:dyDescent="0.35"/>
    <row r="1567" ht="15.5" x14ac:dyDescent="0.35"/>
    <row r="1568" ht="15.5" x14ac:dyDescent="0.35"/>
    <row r="1569" ht="15.5" x14ac:dyDescent="0.35"/>
    <row r="1570" ht="15.5" x14ac:dyDescent="0.35"/>
    <row r="1571" ht="15.5" x14ac:dyDescent="0.35"/>
    <row r="1572" ht="15.5" x14ac:dyDescent="0.35"/>
    <row r="1573" ht="15.5" x14ac:dyDescent="0.35"/>
    <row r="1574" ht="15.5" x14ac:dyDescent="0.35"/>
    <row r="1575" ht="15.5" x14ac:dyDescent="0.35"/>
    <row r="1576" ht="15.5" x14ac:dyDescent="0.35"/>
    <row r="1577" ht="15.5" x14ac:dyDescent="0.35"/>
    <row r="1578" ht="15.5" x14ac:dyDescent="0.35"/>
    <row r="1579" ht="15.5" x14ac:dyDescent="0.35"/>
    <row r="1580" ht="15.5" x14ac:dyDescent="0.35"/>
    <row r="1581" ht="15.5" x14ac:dyDescent="0.35"/>
    <row r="1582" ht="15.5" x14ac:dyDescent="0.35"/>
    <row r="1583" ht="15.5" x14ac:dyDescent="0.35"/>
    <row r="1584" ht="15.5" x14ac:dyDescent="0.35"/>
    <row r="1585" ht="15.5" x14ac:dyDescent="0.35"/>
    <row r="1586" ht="15.5" x14ac:dyDescent="0.35"/>
    <row r="1587" ht="15.5" x14ac:dyDescent="0.35"/>
    <row r="1588" ht="15.5" x14ac:dyDescent="0.35"/>
    <row r="1589" ht="15.5" x14ac:dyDescent="0.35"/>
    <row r="1590" ht="15.5" x14ac:dyDescent="0.35"/>
    <row r="1591" ht="15.5" x14ac:dyDescent="0.35"/>
    <row r="1592" ht="15.5" x14ac:dyDescent="0.35"/>
    <row r="1593" ht="15.5" x14ac:dyDescent="0.35"/>
    <row r="1594" ht="15.5" x14ac:dyDescent="0.35"/>
    <row r="1595" ht="15.5" x14ac:dyDescent="0.35"/>
    <row r="1596" ht="15.5" x14ac:dyDescent="0.35"/>
    <row r="1597" ht="15.5" x14ac:dyDescent="0.35"/>
    <row r="1598" ht="15.5" x14ac:dyDescent="0.35"/>
    <row r="1599" ht="15.5" x14ac:dyDescent="0.35"/>
    <row r="1600" ht="15.5" x14ac:dyDescent="0.35"/>
    <row r="1601" ht="15.5" x14ac:dyDescent="0.35"/>
    <row r="1602" ht="15.5" x14ac:dyDescent="0.35"/>
    <row r="1603" ht="15.5" x14ac:dyDescent="0.35"/>
    <row r="1604" ht="15.5" x14ac:dyDescent="0.35"/>
    <row r="1605" ht="15.5" x14ac:dyDescent="0.35"/>
    <row r="1606" ht="15.5" x14ac:dyDescent="0.35"/>
    <row r="1607" ht="15.5" x14ac:dyDescent="0.35"/>
    <row r="1608" ht="15.5" x14ac:dyDescent="0.35"/>
    <row r="1609" ht="15.5" x14ac:dyDescent="0.35"/>
    <row r="1610" ht="15.5" x14ac:dyDescent="0.35"/>
    <row r="1611" ht="15.5" x14ac:dyDescent="0.35"/>
    <row r="1612" ht="15.5" x14ac:dyDescent="0.35"/>
    <row r="1613" ht="15.5" x14ac:dyDescent="0.35"/>
    <row r="1614" ht="15.5" x14ac:dyDescent="0.35"/>
    <row r="1615" ht="15.5" x14ac:dyDescent="0.35"/>
    <row r="1616" ht="15.5" x14ac:dyDescent="0.35"/>
    <row r="1617" ht="15.5" x14ac:dyDescent="0.35"/>
    <row r="1618" ht="15.5" x14ac:dyDescent="0.35"/>
    <row r="1619" ht="15.5" x14ac:dyDescent="0.35"/>
    <row r="1620" ht="15.5" x14ac:dyDescent="0.35"/>
    <row r="1621" ht="15.5" x14ac:dyDescent="0.35"/>
    <row r="1622" ht="15.5" x14ac:dyDescent="0.35"/>
    <row r="1623" ht="15.5" x14ac:dyDescent="0.35"/>
    <row r="1624" ht="15.5" x14ac:dyDescent="0.35"/>
    <row r="1625" ht="15.5" x14ac:dyDescent="0.35"/>
    <row r="1626" ht="15.5" x14ac:dyDescent="0.35"/>
    <row r="1627" ht="15.5" x14ac:dyDescent="0.35"/>
    <row r="1628" ht="15.5" x14ac:dyDescent="0.35"/>
    <row r="1629" ht="15.5" x14ac:dyDescent="0.35"/>
    <row r="1630" ht="15.5" x14ac:dyDescent="0.35"/>
    <row r="1631" ht="15.5" x14ac:dyDescent="0.35"/>
    <row r="1632" ht="15.5" x14ac:dyDescent="0.35"/>
    <row r="1633" ht="15.5" x14ac:dyDescent="0.35"/>
    <row r="1634" ht="15.5" x14ac:dyDescent="0.35"/>
    <row r="1635" ht="15.5" x14ac:dyDescent="0.35"/>
    <row r="1636" ht="15.5" x14ac:dyDescent="0.35"/>
    <row r="1637" ht="15.5" x14ac:dyDescent="0.35"/>
    <row r="1638" ht="15.5" x14ac:dyDescent="0.35"/>
    <row r="1639" ht="15.5" x14ac:dyDescent="0.35"/>
    <row r="1640" ht="15.5" x14ac:dyDescent="0.35"/>
    <row r="1641" ht="15.5" x14ac:dyDescent="0.35"/>
    <row r="1642" ht="15.5" x14ac:dyDescent="0.35"/>
    <row r="1643" ht="15.5" x14ac:dyDescent="0.35"/>
    <row r="1644" ht="15.5" x14ac:dyDescent="0.35"/>
    <row r="1645" ht="15.5" x14ac:dyDescent="0.35"/>
    <row r="1646" ht="15.5" x14ac:dyDescent="0.35"/>
    <row r="1647" ht="15.5" x14ac:dyDescent="0.35"/>
    <row r="1648" ht="15.5" x14ac:dyDescent="0.35"/>
    <row r="1649" ht="15.5" x14ac:dyDescent="0.35"/>
    <row r="1650" ht="15.5" x14ac:dyDescent="0.35"/>
    <row r="1651" ht="15.5" x14ac:dyDescent="0.35"/>
    <row r="1652" ht="15.5" x14ac:dyDescent="0.35"/>
    <row r="1653" ht="15.5" x14ac:dyDescent="0.35"/>
    <row r="1654" ht="15.5" x14ac:dyDescent="0.35"/>
    <row r="1655" ht="15.5" x14ac:dyDescent="0.35"/>
    <row r="1656" ht="15.5" x14ac:dyDescent="0.35"/>
    <row r="1657" ht="15.5" x14ac:dyDescent="0.35"/>
    <row r="1658" ht="15.5" x14ac:dyDescent="0.35"/>
    <row r="1659" ht="15.5" x14ac:dyDescent="0.35"/>
    <row r="1660" ht="15.5" x14ac:dyDescent="0.35"/>
    <row r="1661" ht="15.5" x14ac:dyDescent="0.35"/>
    <row r="1662" ht="15.5" x14ac:dyDescent="0.35"/>
    <row r="1663" ht="15.5" x14ac:dyDescent="0.35"/>
    <row r="1664" ht="15.5" x14ac:dyDescent="0.35"/>
    <row r="1665" ht="15.5" x14ac:dyDescent="0.35"/>
    <row r="1666" ht="15.5" x14ac:dyDescent="0.35"/>
    <row r="1667" ht="15.5" x14ac:dyDescent="0.35"/>
    <row r="1668" ht="15.5" x14ac:dyDescent="0.35"/>
    <row r="1669" ht="15.5" x14ac:dyDescent="0.35"/>
    <row r="1670" ht="15.5" x14ac:dyDescent="0.35"/>
    <row r="1671" ht="15.5" x14ac:dyDescent="0.35"/>
    <row r="1672" ht="15.5" x14ac:dyDescent="0.35"/>
    <row r="1673" ht="15.5" x14ac:dyDescent="0.35"/>
    <row r="1674" ht="15.5" x14ac:dyDescent="0.35"/>
    <row r="1675" ht="15.5" x14ac:dyDescent="0.35"/>
    <row r="1676" ht="15.5" x14ac:dyDescent="0.35"/>
    <row r="1677" ht="15.5" x14ac:dyDescent="0.35"/>
    <row r="1678" ht="15.5" x14ac:dyDescent="0.35"/>
    <row r="1679" ht="15.5" x14ac:dyDescent="0.35"/>
    <row r="1680" ht="15.5" x14ac:dyDescent="0.35"/>
    <row r="1681" ht="15.5" x14ac:dyDescent="0.35"/>
    <row r="1682" ht="15.5" x14ac:dyDescent="0.35"/>
    <row r="1683" ht="15.5" x14ac:dyDescent="0.35"/>
    <row r="1684" ht="15.5" x14ac:dyDescent="0.35"/>
    <row r="1685" ht="15.5" x14ac:dyDescent="0.35"/>
    <row r="1686" ht="15.5" x14ac:dyDescent="0.35"/>
    <row r="1687" ht="15.5" x14ac:dyDescent="0.35"/>
    <row r="1688" ht="15.5" x14ac:dyDescent="0.35"/>
    <row r="1689" ht="15.5" x14ac:dyDescent="0.35"/>
    <row r="1690" ht="15.5" x14ac:dyDescent="0.35"/>
    <row r="1691" ht="15.5" x14ac:dyDescent="0.35"/>
    <row r="1692" ht="15.5" x14ac:dyDescent="0.35"/>
    <row r="1693" ht="15.5" x14ac:dyDescent="0.35"/>
    <row r="1694" ht="15.5" x14ac:dyDescent="0.35"/>
    <row r="1695" ht="15.5" x14ac:dyDescent="0.35"/>
    <row r="1696" ht="15.5" x14ac:dyDescent="0.35"/>
    <row r="1697" ht="15.5" x14ac:dyDescent="0.35"/>
    <row r="1698" ht="15.5" x14ac:dyDescent="0.35"/>
    <row r="1699" ht="15.5" x14ac:dyDescent="0.35"/>
    <row r="1700" ht="15.5" x14ac:dyDescent="0.35"/>
    <row r="1701" ht="15.5" x14ac:dyDescent="0.35"/>
    <row r="1702" ht="15.5" x14ac:dyDescent="0.35"/>
    <row r="1703" ht="15.5" x14ac:dyDescent="0.35"/>
    <row r="1704" ht="15.5" x14ac:dyDescent="0.35"/>
    <row r="1705" ht="15.5" x14ac:dyDescent="0.35"/>
    <row r="1706" ht="15.5" x14ac:dyDescent="0.35"/>
    <row r="1707" ht="15.5" x14ac:dyDescent="0.35"/>
    <row r="1708" ht="15.5" x14ac:dyDescent="0.35"/>
    <row r="1709" ht="15.5" x14ac:dyDescent="0.35"/>
    <row r="1710" ht="15.5" x14ac:dyDescent="0.35"/>
    <row r="1711" ht="15.5" x14ac:dyDescent="0.35"/>
    <row r="1712" ht="15.5" x14ac:dyDescent="0.35"/>
    <row r="1713" ht="15.5" x14ac:dyDescent="0.35"/>
    <row r="1714" ht="15.5" x14ac:dyDescent="0.35"/>
    <row r="1715" ht="15.5" x14ac:dyDescent="0.35"/>
    <row r="1716" ht="15.5" x14ac:dyDescent="0.35"/>
    <row r="1717" ht="15.5" x14ac:dyDescent="0.35"/>
    <row r="1718" ht="15.5" x14ac:dyDescent="0.35"/>
    <row r="1719" ht="15.5" x14ac:dyDescent="0.35"/>
    <row r="1720" ht="15.5" x14ac:dyDescent="0.35"/>
    <row r="1721" ht="15.5" x14ac:dyDescent="0.35"/>
    <row r="1722" ht="15.5" x14ac:dyDescent="0.35"/>
    <row r="1723" ht="15.5" x14ac:dyDescent="0.35"/>
    <row r="1724" ht="15.5" x14ac:dyDescent="0.35"/>
    <row r="1725" ht="15.5" x14ac:dyDescent="0.35"/>
    <row r="1726" ht="15.5" x14ac:dyDescent="0.35"/>
    <row r="1727" ht="15.5" x14ac:dyDescent="0.35"/>
    <row r="1728" ht="15.5" x14ac:dyDescent="0.35"/>
    <row r="1729" ht="15.5" x14ac:dyDescent="0.35"/>
    <row r="1730" ht="15.5" x14ac:dyDescent="0.35"/>
    <row r="1731" ht="15.5" x14ac:dyDescent="0.35"/>
    <row r="1732" ht="15.5" x14ac:dyDescent="0.35"/>
    <row r="1733" ht="15.5" x14ac:dyDescent="0.35"/>
    <row r="1734" ht="15.5" x14ac:dyDescent="0.35"/>
    <row r="1735" ht="15.5" x14ac:dyDescent="0.35"/>
    <row r="1736" ht="15.5" x14ac:dyDescent="0.35"/>
    <row r="1737" ht="15.5" x14ac:dyDescent="0.35"/>
    <row r="1738" ht="15.5" x14ac:dyDescent="0.35"/>
    <row r="1739" ht="15.5" x14ac:dyDescent="0.35"/>
    <row r="1740" ht="15.5" x14ac:dyDescent="0.35"/>
    <row r="1741" ht="15.5" x14ac:dyDescent="0.35"/>
    <row r="1742" ht="15.5" x14ac:dyDescent="0.35"/>
    <row r="1743" ht="15.5" x14ac:dyDescent="0.35"/>
    <row r="1744" ht="15.5" x14ac:dyDescent="0.35"/>
    <row r="1745" ht="15.5" x14ac:dyDescent="0.35"/>
    <row r="1746" ht="15.5" x14ac:dyDescent="0.35"/>
    <row r="1747" ht="15.5" x14ac:dyDescent="0.35"/>
    <row r="1748" ht="15.5" x14ac:dyDescent="0.35"/>
    <row r="1749" ht="15.5" x14ac:dyDescent="0.35"/>
    <row r="1750" ht="15.5" x14ac:dyDescent="0.35"/>
    <row r="1751" ht="15.5" x14ac:dyDescent="0.35"/>
    <row r="1752" ht="15.5" x14ac:dyDescent="0.35"/>
    <row r="1753" ht="15.5" x14ac:dyDescent="0.35"/>
    <row r="1754" ht="15.5" x14ac:dyDescent="0.35"/>
    <row r="1755" ht="15.5" x14ac:dyDescent="0.35"/>
    <row r="1756" ht="15.5" x14ac:dyDescent="0.35"/>
    <row r="1757" ht="15.5" x14ac:dyDescent="0.35"/>
    <row r="1758" ht="15.5" x14ac:dyDescent="0.35"/>
    <row r="1759" ht="15.5" x14ac:dyDescent="0.35"/>
    <row r="1760" ht="15.5" x14ac:dyDescent="0.35"/>
    <row r="1761" ht="15.5" x14ac:dyDescent="0.35"/>
    <row r="1762" ht="15.5" x14ac:dyDescent="0.35"/>
    <row r="1763" ht="15.5" x14ac:dyDescent="0.35"/>
    <row r="1764" ht="15.5" x14ac:dyDescent="0.35"/>
    <row r="1765" ht="15.5" x14ac:dyDescent="0.35"/>
    <row r="1766" ht="15.5" x14ac:dyDescent="0.35"/>
    <row r="1767" ht="15.5" x14ac:dyDescent="0.35"/>
    <row r="1768" ht="15.5" x14ac:dyDescent="0.35"/>
    <row r="1769" ht="15.5" x14ac:dyDescent="0.35"/>
    <row r="1770" ht="15.5" x14ac:dyDescent="0.35"/>
    <row r="1771" ht="15.5" x14ac:dyDescent="0.35"/>
    <row r="1772" ht="15.5" x14ac:dyDescent="0.35"/>
    <row r="1773" ht="15.5" x14ac:dyDescent="0.35"/>
    <row r="1774" ht="15.5" x14ac:dyDescent="0.35"/>
    <row r="1775" ht="15.5" x14ac:dyDescent="0.35"/>
    <row r="1776" ht="15.5" x14ac:dyDescent="0.35"/>
    <row r="1777" ht="15.5" x14ac:dyDescent="0.35"/>
    <row r="1778" ht="15.5" x14ac:dyDescent="0.35"/>
    <row r="1779" ht="15.5" x14ac:dyDescent="0.35"/>
    <row r="1780" ht="15.5" x14ac:dyDescent="0.35"/>
    <row r="1781" ht="15.5" x14ac:dyDescent="0.35"/>
    <row r="1782" ht="15.5" x14ac:dyDescent="0.35"/>
    <row r="1783" ht="15.5" x14ac:dyDescent="0.35"/>
    <row r="1784" ht="15.5" x14ac:dyDescent="0.35"/>
    <row r="1785" ht="15.5" x14ac:dyDescent="0.35"/>
    <row r="1786" ht="15.5" x14ac:dyDescent="0.35"/>
    <row r="1787" ht="15.5" x14ac:dyDescent="0.35"/>
    <row r="1788" ht="15.5" x14ac:dyDescent="0.35"/>
    <row r="1789" ht="15.5" x14ac:dyDescent="0.35"/>
    <row r="1790" ht="15.5" x14ac:dyDescent="0.35"/>
    <row r="1791" ht="15.5" x14ac:dyDescent="0.35"/>
    <row r="1792" ht="15.5" x14ac:dyDescent="0.35"/>
    <row r="1793" ht="15.5" x14ac:dyDescent="0.35"/>
    <row r="1794" ht="15.5" x14ac:dyDescent="0.35"/>
    <row r="1795" ht="15.5" x14ac:dyDescent="0.35"/>
    <row r="1796" ht="15.5" x14ac:dyDescent="0.35"/>
    <row r="1797" ht="15.5" x14ac:dyDescent="0.35"/>
    <row r="1798" ht="15.5" x14ac:dyDescent="0.35"/>
    <row r="1799" ht="15.5" x14ac:dyDescent="0.35"/>
    <row r="1800" ht="15.5" x14ac:dyDescent="0.35"/>
    <row r="1801" ht="15.5" x14ac:dyDescent="0.35"/>
    <row r="1802" ht="15.5" x14ac:dyDescent="0.35"/>
    <row r="1803" ht="15.5" x14ac:dyDescent="0.35"/>
    <row r="1804" ht="15.5" x14ac:dyDescent="0.35"/>
    <row r="1805" ht="15.5" x14ac:dyDescent="0.35"/>
    <row r="1806" ht="15.5" x14ac:dyDescent="0.35"/>
    <row r="1807" ht="15.5" x14ac:dyDescent="0.35"/>
    <row r="1808" ht="15.5" x14ac:dyDescent="0.35"/>
    <row r="1809" ht="15.5" x14ac:dyDescent="0.35"/>
    <row r="1810" ht="15.5" x14ac:dyDescent="0.35"/>
    <row r="1811" ht="15.5" x14ac:dyDescent="0.35"/>
    <row r="1812" ht="15.5" x14ac:dyDescent="0.35"/>
    <row r="1813" ht="15.5" x14ac:dyDescent="0.35"/>
    <row r="1814" ht="15.5" x14ac:dyDescent="0.35"/>
    <row r="1815" ht="15.5" x14ac:dyDescent="0.35"/>
    <row r="1816" ht="15.5" x14ac:dyDescent="0.35"/>
    <row r="1817" ht="15.5" x14ac:dyDescent="0.35"/>
    <row r="1818" ht="15.5" x14ac:dyDescent="0.35"/>
    <row r="1819" ht="15.5" x14ac:dyDescent="0.35"/>
    <row r="1820" ht="15.5" x14ac:dyDescent="0.35"/>
    <row r="1821" ht="15.5" x14ac:dyDescent="0.35"/>
    <row r="1822" ht="15.5" x14ac:dyDescent="0.35"/>
    <row r="1823" ht="15.5" x14ac:dyDescent="0.35"/>
    <row r="1824" ht="15.5" x14ac:dyDescent="0.35"/>
    <row r="1825" ht="15.5" x14ac:dyDescent="0.35"/>
    <row r="1826" ht="15.5" x14ac:dyDescent="0.35"/>
    <row r="1827" ht="15.5" x14ac:dyDescent="0.35"/>
    <row r="1828" ht="15.5" x14ac:dyDescent="0.35"/>
    <row r="1829" ht="15.5" x14ac:dyDescent="0.35"/>
    <row r="1830" ht="15.5" x14ac:dyDescent="0.35"/>
    <row r="1831" ht="15.5" x14ac:dyDescent="0.35"/>
    <row r="1832" ht="15.5" x14ac:dyDescent="0.35"/>
    <row r="1833" ht="15.5" x14ac:dyDescent="0.35"/>
    <row r="1834" ht="15.5" x14ac:dyDescent="0.35"/>
    <row r="1835" ht="15.5" x14ac:dyDescent="0.35"/>
    <row r="1836" ht="15.5" x14ac:dyDescent="0.35"/>
    <row r="1837" ht="15.5" x14ac:dyDescent="0.35"/>
    <row r="1838" ht="15.5" x14ac:dyDescent="0.35"/>
    <row r="1839" ht="15.5" x14ac:dyDescent="0.35"/>
    <row r="1840" ht="15.5" x14ac:dyDescent="0.35"/>
    <row r="1841" ht="15.5" x14ac:dyDescent="0.35"/>
    <row r="1842" ht="15.5" x14ac:dyDescent="0.35"/>
    <row r="1843" ht="15.5" x14ac:dyDescent="0.35"/>
    <row r="1844" ht="15.5" x14ac:dyDescent="0.35"/>
    <row r="1845" ht="15.5" x14ac:dyDescent="0.35"/>
    <row r="1846" ht="15.5" x14ac:dyDescent="0.35"/>
    <row r="1847" ht="15.5" x14ac:dyDescent="0.35"/>
    <row r="1848" ht="15.5" x14ac:dyDescent="0.35"/>
    <row r="1849" ht="15.5" x14ac:dyDescent="0.35"/>
    <row r="1850" ht="15.5" x14ac:dyDescent="0.35"/>
    <row r="1851" ht="15.5" x14ac:dyDescent="0.35"/>
    <row r="1852" ht="15.5" x14ac:dyDescent="0.35"/>
    <row r="1853" ht="15.5" x14ac:dyDescent="0.35"/>
    <row r="1854" ht="15.5" x14ac:dyDescent="0.35"/>
    <row r="1855" ht="15.5" x14ac:dyDescent="0.35"/>
    <row r="1856" ht="15.5" x14ac:dyDescent="0.35"/>
    <row r="1857" ht="15.5" x14ac:dyDescent="0.35"/>
    <row r="1858" ht="15.5" x14ac:dyDescent="0.35"/>
    <row r="1859" ht="15.5" x14ac:dyDescent="0.35"/>
    <row r="1860" ht="15.5" x14ac:dyDescent="0.35"/>
    <row r="1861" ht="15.5" x14ac:dyDescent="0.35"/>
    <row r="1862" ht="15.5" x14ac:dyDescent="0.35"/>
    <row r="1863" ht="15.5" x14ac:dyDescent="0.35"/>
    <row r="1864" ht="15.5" x14ac:dyDescent="0.35"/>
    <row r="1865" ht="15.5" x14ac:dyDescent="0.35"/>
    <row r="1866" ht="15.5" x14ac:dyDescent="0.35"/>
    <row r="1867" ht="15.5" x14ac:dyDescent="0.35"/>
    <row r="1868" ht="15.5" x14ac:dyDescent="0.35"/>
    <row r="1869" ht="15.5" x14ac:dyDescent="0.35"/>
    <row r="1870" ht="15.5" x14ac:dyDescent="0.35"/>
    <row r="1871" ht="15.5" x14ac:dyDescent="0.35"/>
    <row r="1872" ht="15.5" x14ac:dyDescent="0.35"/>
    <row r="1873" ht="15.5" x14ac:dyDescent="0.35"/>
    <row r="1874" ht="15.5" x14ac:dyDescent="0.35"/>
    <row r="1875" ht="15.5" x14ac:dyDescent="0.35"/>
    <row r="1876" ht="15.5" x14ac:dyDescent="0.35"/>
    <row r="1877" ht="15.5" x14ac:dyDescent="0.35"/>
    <row r="1878" ht="15.5" x14ac:dyDescent="0.35"/>
    <row r="1879" ht="15.5" x14ac:dyDescent="0.35"/>
    <row r="1880" ht="15.5" x14ac:dyDescent="0.35"/>
    <row r="1881" ht="15.5" x14ac:dyDescent="0.35"/>
    <row r="1882" ht="15.5" x14ac:dyDescent="0.35"/>
    <row r="1883" ht="15.5" x14ac:dyDescent="0.35"/>
    <row r="1884" ht="15.5" x14ac:dyDescent="0.35"/>
    <row r="1885" ht="15.5" x14ac:dyDescent="0.35"/>
    <row r="1886" ht="15.5" x14ac:dyDescent="0.35"/>
    <row r="1887" ht="15.5" x14ac:dyDescent="0.35"/>
    <row r="1888" ht="15.5" x14ac:dyDescent="0.35"/>
    <row r="1889" ht="15.5" x14ac:dyDescent="0.35"/>
    <row r="1890" ht="15.5" x14ac:dyDescent="0.35"/>
    <row r="1891" ht="15.5" x14ac:dyDescent="0.35"/>
    <row r="1892" ht="15.5" x14ac:dyDescent="0.35"/>
    <row r="1893" ht="15.5" x14ac:dyDescent="0.35"/>
    <row r="1894" ht="15.5" x14ac:dyDescent="0.35"/>
    <row r="1895" ht="15.5" x14ac:dyDescent="0.35"/>
    <row r="1896" ht="15.5" x14ac:dyDescent="0.35"/>
    <row r="1897" ht="15.5" x14ac:dyDescent="0.35"/>
    <row r="1898" ht="15.5" x14ac:dyDescent="0.35"/>
    <row r="1899" ht="15.5" x14ac:dyDescent="0.35"/>
    <row r="1900" ht="15.5" x14ac:dyDescent="0.35"/>
    <row r="1901" ht="15.5" x14ac:dyDescent="0.35"/>
    <row r="1902" ht="15.5" x14ac:dyDescent="0.35"/>
    <row r="1903" ht="15.5" x14ac:dyDescent="0.35"/>
    <row r="1904" ht="15.5" x14ac:dyDescent="0.35"/>
    <row r="1905" ht="15.5" x14ac:dyDescent="0.35"/>
    <row r="1906" ht="15.5" x14ac:dyDescent="0.35"/>
    <row r="1907" ht="15.5" x14ac:dyDescent="0.35"/>
    <row r="1908" ht="15.5" x14ac:dyDescent="0.35"/>
    <row r="1909" ht="15.5" x14ac:dyDescent="0.35"/>
    <row r="1910" ht="15.5" x14ac:dyDescent="0.35"/>
    <row r="1911" ht="15.5" x14ac:dyDescent="0.35"/>
    <row r="1912" ht="15.5" x14ac:dyDescent="0.35"/>
    <row r="1913" ht="15.5" x14ac:dyDescent="0.35"/>
    <row r="1914" ht="15.5" x14ac:dyDescent="0.35"/>
    <row r="1915" ht="15.5" x14ac:dyDescent="0.35"/>
    <row r="1916" ht="15.5" x14ac:dyDescent="0.35"/>
    <row r="1917" ht="15.5" x14ac:dyDescent="0.35"/>
    <row r="1918" ht="15.5" x14ac:dyDescent="0.35"/>
    <row r="1919" ht="15.5" x14ac:dyDescent="0.35"/>
    <row r="1920" ht="15.5" x14ac:dyDescent="0.35"/>
    <row r="1921" ht="15.5" x14ac:dyDescent="0.35"/>
    <row r="1922" ht="15.5" x14ac:dyDescent="0.35"/>
    <row r="1923" ht="15.5" x14ac:dyDescent="0.35"/>
    <row r="1924" ht="15.5" x14ac:dyDescent="0.35"/>
    <row r="1925" ht="15.5" x14ac:dyDescent="0.35"/>
    <row r="1926" ht="15.5" x14ac:dyDescent="0.35"/>
    <row r="1927" ht="15.5" x14ac:dyDescent="0.35"/>
    <row r="1928" ht="15.5" x14ac:dyDescent="0.35"/>
    <row r="1929" ht="15.5" x14ac:dyDescent="0.35"/>
    <row r="1930" ht="15.5" x14ac:dyDescent="0.35"/>
    <row r="1931" ht="15.5" x14ac:dyDescent="0.35"/>
    <row r="1932" ht="15.5" x14ac:dyDescent="0.35"/>
    <row r="1933" ht="15.5" x14ac:dyDescent="0.35"/>
    <row r="1934" ht="15.5" x14ac:dyDescent="0.35"/>
    <row r="1935" ht="15.5" x14ac:dyDescent="0.35"/>
    <row r="1936" ht="15.5" x14ac:dyDescent="0.35"/>
    <row r="1937" ht="15.5" x14ac:dyDescent="0.35"/>
    <row r="1938" ht="15.5" x14ac:dyDescent="0.35"/>
    <row r="1939" ht="15.5" x14ac:dyDescent="0.35"/>
    <row r="1940" ht="15.5" x14ac:dyDescent="0.35"/>
    <row r="1941" ht="15.5" x14ac:dyDescent="0.35"/>
    <row r="1942" ht="15.5" x14ac:dyDescent="0.35"/>
    <row r="1943" ht="15.5" x14ac:dyDescent="0.35"/>
    <row r="1944" ht="15.5" x14ac:dyDescent="0.35"/>
    <row r="1945" ht="15.5" x14ac:dyDescent="0.35"/>
    <row r="1946" ht="15.5" x14ac:dyDescent="0.35"/>
    <row r="1947" ht="15.5" x14ac:dyDescent="0.35"/>
    <row r="1948" ht="15.5" x14ac:dyDescent="0.35"/>
    <row r="1949" ht="15.5" x14ac:dyDescent="0.35"/>
    <row r="1950" ht="15.5" x14ac:dyDescent="0.35"/>
    <row r="1951" ht="15.5" x14ac:dyDescent="0.35"/>
    <row r="1952" ht="15.5" x14ac:dyDescent="0.35"/>
    <row r="1953" ht="15.5" x14ac:dyDescent="0.35"/>
    <row r="1954" ht="15.5" x14ac:dyDescent="0.35"/>
    <row r="1955" ht="15.5" x14ac:dyDescent="0.35"/>
    <row r="1956" ht="15.5" x14ac:dyDescent="0.35"/>
    <row r="1957" ht="15.5" x14ac:dyDescent="0.35"/>
    <row r="1958" ht="15.5" x14ac:dyDescent="0.35"/>
    <row r="1959" ht="15.5" x14ac:dyDescent="0.35"/>
    <row r="1960" ht="15.5" x14ac:dyDescent="0.35"/>
    <row r="1961" ht="15.5" x14ac:dyDescent="0.35"/>
    <row r="1962" ht="15.5" x14ac:dyDescent="0.35"/>
    <row r="1963" ht="15.5" x14ac:dyDescent="0.35"/>
    <row r="1964" ht="15.5" x14ac:dyDescent="0.35"/>
    <row r="1965" ht="15.5" x14ac:dyDescent="0.35"/>
    <row r="1966" ht="15.5" x14ac:dyDescent="0.35"/>
    <row r="1967" ht="15.5" x14ac:dyDescent="0.35"/>
    <row r="1968" ht="15.5" x14ac:dyDescent="0.35"/>
    <row r="1969" ht="15.5" x14ac:dyDescent="0.35"/>
    <row r="1970" ht="15.5" x14ac:dyDescent="0.35"/>
    <row r="1971" ht="15.5" x14ac:dyDescent="0.35"/>
    <row r="1972" ht="15.5" x14ac:dyDescent="0.35"/>
    <row r="1973" ht="15.5" x14ac:dyDescent="0.35"/>
    <row r="1974" ht="15.5" x14ac:dyDescent="0.35"/>
    <row r="1975" ht="15.5" x14ac:dyDescent="0.35"/>
    <row r="1976" ht="15.5" x14ac:dyDescent="0.35"/>
    <row r="1977" ht="15.5" x14ac:dyDescent="0.35"/>
    <row r="1978" ht="15.5" x14ac:dyDescent="0.35"/>
    <row r="1979" ht="15.5" x14ac:dyDescent="0.35"/>
    <row r="1980" ht="15.5" x14ac:dyDescent="0.35"/>
    <row r="1981" ht="15.5" x14ac:dyDescent="0.35"/>
    <row r="1982" ht="15.5" x14ac:dyDescent="0.35"/>
    <row r="1983" ht="15.5" x14ac:dyDescent="0.35"/>
    <row r="1984" ht="15.5" x14ac:dyDescent="0.35"/>
    <row r="1985" ht="15.5" x14ac:dyDescent="0.35"/>
    <row r="1986" ht="15.5" x14ac:dyDescent="0.35"/>
    <row r="1987" ht="15.5" x14ac:dyDescent="0.35"/>
    <row r="1988" ht="15.5" x14ac:dyDescent="0.35"/>
    <row r="1989" ht="15.5" x14ac:dyDescent="0.35"/>
    <row r="1990" ht="15.5" x14ac:dyDescent="0.35"/>
    <row r="1991" ht="15.5" x14ac:dyDescent="0.35"/>
    <row r="1992" ht="15.5" x14ac:dyDescent="0.35"/>
    <row r="1993" ht="15.5" x14ac:dyDescent="0.35"/>
    <row r="1994" ht="15.5" x14ac:dyDescent="0.35"/>
    <row r="1995" ht="15.5" x14ac:dyDescent="0.35"/>
    <row r="1996" ht="15.5" x14ac:dyDescent="0.35"/>
    <row r="1997" ht="15.5" x14ac:dyDescent="0.35"/>
    <row r="1998" ht="15.5" x14ac:dyDescent="0.35"/>
    <row r="1999" ht="15.5" x14ac:dyDescent="0.35"/>
    <row r="2000" ht="15.5" x14ac:dyDescent="0.35"/>
    <row r="2001" ht="15.5" x14ac:dyDescent="0.35"/>
    <row r="2002" ht="15.5" x14ac:dyDescent="0.35"/>
    <row r="2003" ht="15.5" x14ac:dyDescent="0.35"/>
    <row r="2004" ht="15.5" x14ac:dyDescent="0.35"/>
    <row r="2005" ht="15.5" x14ac:dyDescent="0.35"/>
    <row r="2006" ht="15.5" x14ac:dyDescent="0.35"/>
    <row r="2007" ht="15.5" x14ac:dyDescent="0.35"/>
    <row r="2008" ht="15.5" x14ac:dyDescent="0.35"/>
    <row r="2009" ht="15.5" x14ac:dyDescent="0.35"/>
    <row r="2010" ht="15.5" x14ac:dyDescent="0.35"/>
    <row r="2011" ht="15.5" x14ac:dyDescent="0.35"/>
    <row r="2012" ht="15.5" x14ac:dyDescent="0.35"/>
    <row r="2013" ht="15.5" x14ac:dyDescent="0.35"/>
    <row r="2014" ht="15.5" x14ac:dyDescent="0.35"/>
    <row r="2015" ht="15.5" x14ac:dyDescent="0.35"/>
    <row r="2016" ht="15.5" x14ac:dyDescent="0.35"/>
    <row r="2017" ht="15.5" x14ac:dyDescent="0.35"/>
    <row r="2018" ht="15.5" x14ac:dyDescent="0.35"/>
    <row r="2019" ht="15.5" x14ac:dyDescent="0.35"/>
    <row r="2020" ht="15.5" x14ac:dyDescent="0.35"/>
    <row r="2021" ht="15.5" x14ac:dyDescent="0.35"/>
    <row r="2022" ht="15.5" x14ac:dyDescent="0.35"/>
    <row r="2023" ht="15.5" x14ac:dyDescent="0.35"/>
    <row r="2024" ht="15.5" x14ac:dyDescent="0.35"/>
    <row r="2025" ht="15.5" x14ac:dyDescent="0.35"/>
    <row r="2026" ht="15.5" x14ac:dyDescent="0.35"/>
    <row r="2027" ht="15.5" x14ac:dyDescent="0.35"/>
    <row r="2028" ht="15.5" x14ac:dyDescent="0.35"/>
    <row r="2029" ht="15.5" x14ac:dyDescent="0.35"/>
    <row r="2030" ht="15.5" x14ac:dyDescent="0.35"/>
    <row r="2031" ht="15.5" x14ac:dyDescent="0.35"/>
    <row r="2032" ht="15.5" x14ac:dyDescent="0.35"/>
    <row r="2033" ht="15.5" x14ac:dyDescent="0.35"/>
    <row r="2034" ht="15.5" x14ac:dyDescent="0.35"/>
    <row r="2035" ht="15.5" x14ac:dyDescent="0.35"/>
    <row r="2036" ht="15.5" x14ac:dyDescent="0.35"/>
    <row r="2037" ht="15.5" x14ac:dyDescent="0.35"/>
    <row r="2038" ht="15.5" x14ac:dyDescent="0.35"/>
    <row r="2039" ht="15.5" x14ac:dyDescent="0.35"/>
    <row r="2040" ht="15.5" x14ac:dyDescent="0.35"/>
    <row r="2041" ht="15.5" x14ac:dyDescent="0.35"/>
    <row r="2042" ht="15.5" x14ac:dyDescent="0.35"/>
    <row r="2043" ht="15.5" x14ac:dyDescent="0.35"/>
    <row r="2044" ht="15.5" x14ac:dyDescent="0.35"/>
    <row r="2045" ht="15.5" x14ac:dyDescent="0.35"/>
    <row r="2046" ht="15.5" x14ac:dyDescent="0.35"/>
    <row r="2047" ht="15.5" x14ac:dyDescent="0.35"/>
    <row r="2048" ht="15.5" x14ac:dyDescent="0.35"/>
    <row r="2049" ht="15.5" x14ac:dyDescent="0.35"/>
    <row r="2050" ht="15.5" x14ac:dyDescent="0.35"/>
    <row r="2051" ht="15.5" x14ac:dyDescent="0.35"/>
    <row r="2052" ht="15.5" x14ac:dyDescent="0.35"/>
    <row r="2053" ht="15.5" x14ac:dyDescent="0.35"/>
    <row r="2054" ht="15.5" x14ac:dyDescent="0.35"/>
    <row r="2055" ht="15.5" x14ac:dyDescent="0.35"/>
    <row r="2056" ht="15.5" x14ac:dyDescent="0.35"/>
    <row r="2057" ht="15.5" x14ac:dyDescent="0.35"/>
    <row r="2058" ht="15.5" x14ac:dyDescent="0.35"/>
    <row r="2059" ht="15.5" x14ac:dyDescent="0.35"/>
    <row r="2060" ht="15.5" x14ac:dyDescent="0.35"/>
    <row r="2061" ht="15.5" x14ac:dyDescent="0.35"/>
    <row r="2062" ht="15.5" x14ac:dyDescent="0.35"/>
    <row r="2063" ht="15.5" x14ac:dyDescent="0.35"/>
    <row r="2064" ht="15.5" x14ac:dyDescent="0.35"/>
    <row r="2065" ht="15.5" x14ac:dyDescent="0.35"/>
    <row r="2066" ht="15.5" x14ac:dyDescent="0.35"/>
    <row r="2067" ht="15.5" x14ac:dyDescent="0.35"/>
    <row r="2068" ht="15.5" x14ac:dyDescent="0.35"/>
    <row r="2069" ht="15.5" x14ac:dyDescent="0.35"/>
    <row r="2070" ht="15.5" x14ac:dyDescent="0.35"/>
    <row r="2071" ht="15.5" x14ac:dyDescent="0.35"/>
    <row r="2072" ht="15.5" x14ac:dyDescent="0.35"/>
    <row r="2073" ht="15.5" x14ac:dyDescent="0.35"/>
    <row r="2074" ht="15.5" x14ac:dyDescent="0.35"/>
    <row r="2075" ht="15.5" x14ac:dyDescent="0.35"/>
    <row r="2076" ht="15.5" x14ac:dyDescent="0.35"/>
    <row r="2077" ht="15.5" x14ac:dyDescent="0.35"/>
    <row r="2078" ht="15.5" x14ac:dyDescent="0.35"/>
    <row r="2079" ht="15.5" x14ac:dyDescent="0.35"/>
    <row r="2080" ht="15.5" x14ac:dyDescent="0.35"/>
    <row r="2081" ht="15.5" x14ac:dyDescent="0.35"/>
    <row r="2082" ht="15.5" x14ac:dyDescent="0.35"/>
    <row r="2083" ht="15.5" x14ac:dyDescent="0.35"/>
    <row r="2084" ht="15.5" x14ac:dyDescent="0.35"/>
    <row r="2085" ht="15.5" x14ac:dyDescent="0.35"/>
    <row r="2086" ht="15.5" x14ac:dyDescent="0.35"/>
    <row r="2087" ht="15.5" x14ac:dyDescent="0.35"/>
    <row r="2088" ht="15.5" x14ac:dyDescent="0.35"/>
    <row r="2089" ht="15.5" x14ac:dyDescent="0.35"/>
    <row r="2090" ht="15.5" x14ac:dyDescent="0.35"/>
    <row r="2091" ht="15.5" x14ac:dyDescent="0.35"/>
    <row r="2092" ht="15.5" x14ac:dyDescent="0.35"/>
    <row r="2093" ht="15.5" x14ac:dyDescent="0.35"/>
    <row r="2094" ht="15.5" x14ac:dyDescent="0.35"/>
    <row r="2095" ht="15.5" x14ac:dyDescent="0.35"/>
    <row r="2096" ht="15.5" x14ac:dyDescent="0.35"/>
    <row r="2097" ht="15.5" x14ac:dyDescent="0.35"/>
    <row r="2098" ht="15.5" x14ac:dyDescent="0.35"/>
    <row r="2099" ht="15.5" x14ac:dyDescent="0.35"/>
    <row r="2100" ht="15.5" x14ac:dyDescent="0.35"/>
    <row r="2101" ht="15.5" x14ac:dyDescent="0.35"/>
    <row r="2102" ht="15.5" x14ac:dyDescent="0.35"/>
    <row r="2103" ht="15.5" x14ac:dyDescent="0.35"/>
    <row r="2104" ht="15.5" x14ac:dyDescent="0.35"/>
    <row r="2105" ht="15.5" x14ac:dyDescent="0.35"/>
    <row r="2106" ht="15.5" x14ac:dyDescent="0.35"/>
    <row r="2107" ht="15.5" x14ac:dyDescent="0.35"/>
    <row r="2108" ht="15.5" x14ac:dyDescent="0.35"/>
    <row r="2109" ht="15.5" x14ac:dyDescent="0.35"/>
    <row r="2110" ht="15.5" x14ac:dyDescent="0.35"/>
    <row r="2111" ht="15.5" x14ac:dyDescent="0.35"/>
    <row r="2112" ht="15.5" x14ac:dyDescent="0.35"/>
    <row r="2113" ht="15.5" x14ac:dyDescent="0.35"/>
    <row r="2114" ht="15.5" x14ac:dyDescent="0.35"/>
    <row r="2115" ht="15.5" x14ac:dyDescent="0.35"/>
    <row r="2116" ht="15.5" x14ac:dyDescent="0.35"/>
    <row r="2117" ht="15.5" x14ac:dyDescent="0.35"/>
    <row r="2118" ht="15.5" x14ac:dyDescent="0.35"/>
    <row r="2119" ht="15.5" x14ac:dyDescent="0.35"/>
    <row r="2120" ht="15.5" x14ac:dyDescent="0.35"/>
    <row r="2121" ht="15.5" x14ac:dyDescent="0.35"/>
    <row r="2122" ht="15.5" x14ac:dyDescent="0.35"/>
    <row r="2123" ht="15.5" x14ac:dyDescent="0.35"/>
    <row r="2124" ht="15.5" x14ac:dyDescent="0.35"/>
    <row r="2125" ht="15.5" x14ac:dyDescent="0.35"/>
    <row r="2126" ht="15.5" x14ac:dyDescent="0.35"/>
    <row r="2127" ht="15.5" x14ac:dyDescent="0.35"/>
    <row r="2128" ht="15.5" x14ac:dyDescent="0.35"/>
    <row r="2129" ht="15.5" x14ac:dyDescent="0.35"/>
    <row r="2130" ht="15.5" x14ac:dyDescent="0.35"/>
    <row r="2131" ht="15.5" x14ac:dyDescent="0.35"/>
    <row r="2132" ht="15.5" x14ac:dyDescent="0.35"/>
    <row r="2133" ht="15.5" x14ac:dyDescent="0.35"/>
    <row r="2134" ht="15.5" x14ac:dyDescent="0.35"/>
    <row r="2135" ht="15.5" x14ac:dyDescent="0.35"/>
    <row r="2136" ht="15.5" x14ac:dyDescent="0.35"/>
    <row r="2137" ht="15.5" x14ac:dyDescent="0.35"/>
    <row r="2138" ht="15.5" x14ac:dyDescent="0.35"/>
    <row r="2139" ht="15.5" x14ac:dyDescent="0.35"/>
    <row r="2140" ht="15.5" x14ac:dyDescent="0.35"/>
    <row r="2141" ht="15.5" x14ac:dyDescent="0.35"/>
    <row r="2142" ht="15.5" x14ac:dyDescent="0.35"/>
    <row r="2143" ht="15.5" x14ac:dyDescent="0.35"/>
    <row r="2144" ht="15.5" x14ac:dyDescent="0.35"/>
    <row r="2145" ht="15.5" x14ac:dyDescent="0.35"/>
    <row r="2146" ht="15.5" x14ac:dyDescent="0.35"/>
    <row r="2147" ht="15.5" x14ac:dyDescent="0.35"/>
    <row r="2148" ht="15.5" x14ac:dyDescent="0.35"/>
    <row r="2149" ht="15.5" x14ac:dyDescent="0.35"/>
    <row r="2150" ht="15.5" x14ac:dyDescent="0.35"/>
    <row r="2151" ht="15.5" x14ac:dyDescent="0.35"/>
    <row r="2152" ht="15.5" x14ac:dyDescent="0.35"/>
    <row r="2153" ht="15.5" x14ac:dyDescent="0.35"/>
    <row r="2154" ht="15.5" x14ac:dyDescent="0.35"/>
    <row r="2155" ht="15.5" x14ac:dyDescent="0.35"/>
    <row r="2156" ht="15.5" x14ac:dyDescent="0.35"/>
    <row r="2157" ht="15.5" x14ac:dyDescent="0.35"/>
    <row r="2158" ht="15.5" x14ac:dyDescent="0.35"/>
    <row r="2159" ht="15.5" x14ac:dyDescent="0.35"/>
    <row r="2160" ht="15.5" x14ac:dyDescent="0.35"/>
    <row r="2161" ht="15.5" x14ac:dyDescent="0.35"/>
    <row r="2162" ht="15.5" x14ac:dyDescent="0.35"/>
    <row r="2163" ht="15.5" x14ac:dyDescent="0.35"/>
    <row r="2164" ht="15.5" x14ac:dyDescent="0.35"/>
    <row r="2165" ht="15.5" x14ac:dyDescent="0.35"/>
    <row r="2166" ht="15.5" x14ac:dyDescent="0.35"/>
    <row r="2167" ht="15.5" x14ac:dyDescent="0.35"/>
    <row r="2168" ht="15.5" x14ac:dyDescent="0.35"/>
    <row r="2169" ht="15.5" x14ac:dyDescent="0.35"/>
    <row r="2170" ht="15.5" x14ac:dyDescent="0.35"/>
    <row r="2171" ht="15.5" x14ac:dyDescent="0.35"/>
    <row r="2172" ht="15.5" x14ac:dyDescent="0.35"/>
    <row r="2173" ht="15.5" x14ac:dyDescent="0.35"/>
    <row r="2174" ht="15.5" x14ac:dyDescent="0.35"/>
    <row r="2175" ht="15.5" x14ac:dyDescent="0.35"/>
    <row r="2176" ht="15.5" x14ac:dyDescent="0.35"/>
    <row r="2177" ht="15.5" x14ac:dyDescent="0.35"/>
    <row r="2178" ht="15.5" x14ac:dyDescent="0.35"/>
    <row r="2179" ht="15.5" x14ac:dyDescent="0.35"/>
    <row r="2180" ht="15.5" x14ac:dyDescent="0.35"/>
    <row r="2181" ht="15.5" x14ac:dyDescent="0.35"/>
    <row r="2182" ht="15.5" x14ac:dyDescent="0.35"/>
    <row r="2183" ht="15.5" x14ac:dyDescent="0.35"/>
    <row r="2184" ht="15.5" x14ac:dyDescent="0.35"/>
    <row r="2185" ht="15.5" x14ac:dyDescent="0.35"/>
    <row r="2186" ht="15.5" x14ac:dyDescent="0.35"/>
    <row r="2187" ht="15.5" x14ac:dyDescent="0.35"/>
    <row r="2188" ht="15.5" x14ac:dyDescent="0.35"/>
    <row r="2189" ht="15.5" x14ac:dyDescent="0.35"/>
    <row r="2190" ht="15.5" x14ac:dyDescent="0.35"/>
    <row r="2191" ht="15.5" x14ac:dyDescent="0.35"/>
    <row r="2192" ht="15.5" x14ac:dyDescent="0.35"/>
    <row r="2193" ht="15.5" x14ac:dyDescent="0.35"/>
    <row r="2194" ht="15.5" x14ac:dyDescent="0.35"/>
    <row r="2195" ht="15.5" x14ac:dyDescent="0.35"/>
    <row r="2196" ht="15.5" x14ac:dyDescent="0.35"/>
    <row r="2197" ht="15.5" x14ac:dyDescent="0.35"/>
    <row r="2198" ht="15.5" x14ac:dyDescent="0.35"/>
    <row r="2199" ht="15.5" x14ac:dyDescent="0.35"/>
    <row r="2200" ht="15.5" x14ac:dyDescent="0.35"/>
    <row r="2201" ht="15.5" x14ac:dyDescent="0.35"/>
    <row r="2202" ht="15.5" x14ac:dyDescent="0.35"/>
    <row r="2203" ht="15.5" x14ac:dyDescent="0.35"/>
    <row r="2204" ht="15.5" x14ac:dyDescent="0.35"/>
    <row r="2205" ht="15.5" x14ac:dyDescent="0.35"/>
    <row r="2206" ht="15.5" x14ac:dyDescent="0.35"/>
    <row r="2207" ht="15.5" x14ac:dyDescent="0.35"/>
    <row r="2208" ht="15.5" x14ac:dyDescent="0.35"/>
    <row r="2209" ht="15.5" x14ac:dyDescent="0.35"/>
    <row r="2210" ht="15.5" x14ac:dyDescent="0.35"/>
    <row r="2211" ht="15.5" x14ac:dyDescent="0.35"/>
    <row r="2212" ht="15.5" x14ac:dyDescent="0.35"/>
    <row r="2213" ht="15.5" x14ac:dyDescent="0.35"/>
    <row r="2214" ht="15.5" x14ac:dyDescent="0.35"/>
    <row r="2215" ht="15.5" x14ac:dyDescent="0.35"/>
    <row r="2216" ht="15.5" x14ac:dyDescent="0.35"/>
    <row r="2217" ht="15.5" x14ac:dyDescent="0.35"/>
    <row r="2218" ht="15.5" x14ac:dyDescent="0.35"/>
    <row r="2219" ht="15.5" x14ac:dyDescent="0.35"/>
    <row r="2220" ht="15.5" x14ac:dyDescent="0.35"/>
    <row r="2221" ht="15.5" x14ac:dyDescent="0.35"/>
    <row r="2222" ht="15.5" x14ac:dyDescent="0.35"/>
    <row r="2223" ht="15.5" x14ac:dyDescent="0.35"/>
    <row r="2224" ht="15.5" x14ac:dyDescent="0.35"/>
    <row r="2225" ht="15.5" x14ac:dyDescent="0.35"/>
    <row r="2226" ht="15.5" x14ac:dyDescent="0.35"/>
    <row r="2227" ht="15.5" x14ac:dyDescent="0.35"/>
    <row r="2228" ht="15.5" x14ac:dyDescent="0.35"/>
    <row r="2229" ht="15.5" x14ac:dyDescent="0.35"/>
    <row r="2230" ht="15.5" x14ac:dyDescent="0.35"/>
    <row r="2231" ht="15.5" x14ac:dyDescent="0.35"/>
    <row r="2232" ht="15.5" x14ac:dyDescent="0.35"/>
    <row r="2233" ht="15.5" x14ac:dyDescent="0.35"/>
    <row r="2234" ht="15.5" x14ac:dyDescent="0.35"/>
    <row r="2235" ht="15.5" x14ac:dyDescent="0.35"/>
    <row r="2236" ht="15.5" x14ac:dyDescent="0.35"/>
    <row r="2237" ht="15.5" x14ac:dyDescent="0.35"/>
    <row r="2238" ht="15.5" x14ac:dyDescent="0.35"/>
    <row r="2239" ht="15.5" x14ac:dyDescent="0.35"/>
    <row r="2240" ht="15.5" x14ac:dyDescent="0.35"/>
    <row r="2241" ht="15.5" x14ac:dyDescent="0.35"/>
    <row r="2242" ht="15.5" x14ac:dyDescent="0.35"/>
    <row r="2243" ht="15.5" x14ac:dyDescent="0.35"/>
    <row r="2244" ht="15.5" x14ac:dyDescent="0.35"/>
    <row r="2245" ht="15.5" x14ac:dyDescent="0.35"/>
    <row r="2246" ht="15.5" x14ac:dyDescent="0.35"/>
    <row r="2247" ht="15.5" x14ac:dyDescent="0.35"/>
    <row r="2248" ht="15.5" x14ac:dyDescent="0.35"/>
    <row r="2249" ht="15.5" x14ac:dyDescent="0.35"/>
    <row r="2250" ht="15.5" x14ac:dyDescent="0.35"/>
    <row r="2251" ht="15.5" x14ac:dyDescent="0.35"/>
    <row r="2252" ht="15.5" x14ac:dyDescent="0.35"/>
    <row r="2253" ht="15.5" x14ac:dyDescent="0.35"/>
    <row r="2254" ht="15.5" x14ac:dyDescent="0.35"/>
    <row r="2255" ht="15.5" x14ac:dyDescent="0.35"/>
    <row r="2256" ht="15.5" x14ac:dyDescent="0.35"/>
    <row r="2257" ht="15.5" x14ac:dyDescent="0.35"/>
    <row r="2258" ht="15.5" x14ac:dyDescent="0.35"/>
    <row r="2259" ht="15.5" x14ac:dyDescent="0.35"/>
    <row r="2260" ht="15.5" x14ac:dyDescent="0.35"/>
    <row r="2261" ht="15.5" x14ac:dyDescent="0.35"/>
    <row r="2262" ht="15.5" x14ac:dyDescent="0.35"/>
    <row r="2263" ht="15.5" x14ac:dyDescent="0.35"/>
    <row r="2264" ht="15.5" x14ac:dyDescent="0.35"/>
    <row r="2265" ht="15.5" x14ac:dyDescent="0.35"/>
    <row r="2266" ht="15.5" x14ac:dyDescent="0.35"/>
    <row r="2267" ht="15.5" x14ac:dyDescent="0.35"/>
    <row r="2268" ht="15.5" x14ac:dyDescent="0.35"/>
    <row r="2269" ht="15.5" x14ac:dyDescent="0.35"/>
    <row r="2270" ht="15.5" x14ac:dyDescent="0.35"/>
    <row r="2271" ht="15.5" x14ac:dyDescent="0.35"/>
    <row r="2272" ht="15.5" x14ac:dyDescent="0.35"/>
    <row r="2273" ht="15.5" x14ac:dyDescent="0.35"/>
    <row r="2274" ht="15.5" x14ac:dyDescent="0.35"/>
    <row r="2275" ht="15.5" x14ac:dyDescent="0.35"/>
    <row r="2276" ht="15.5" x14ac:dyDescent="0.35"/>
    <row r="2277" ht="15.5" x14ac:dyDescent="0.35"/>
    <row r="2278" ht="15.5" x14ac:dyDescent="0.35"/>
    <row r="2279" ht="15.5" x14ac:dyDescent="0.35"/>
    <row r="2280" ht="15.5" x14ac:dyDescent="0.35"/>
    <row r="2281" ht="15.5" x14ac:dyDescent="0.35"/>
    <row r="2282" ht="15.5" x14ac:dyDescent="0.35"/>
    <row r="2283" ht="15.5" x14ac:dyDescent="0.35"/>
    <row r="2284" ht="15.5" x14ac:dyDescent="0.35"/>
    <row r="2285" ht="15.5" x14ac:dyDescent="0.35"/>
    <row r="2286" ht="15.5" x14ac:dyDescent="0.35"/>
    <row r="2287" ht="15.5" x14ac:dyDescent="0.35"/>
    <row r="2288" ht="15.5" x14ac:dyDescent="0.35"/>
    <row r="2289" ht="15.5" x14ac:dyDescent="0.35"/>
    <row r="2290" ht="15.5" x14ac:dyDescent="0.35"/>
    <row r="2291" ht="15.5" x14ac:dyDescent="0.35"/>
    <row r="2292" ht="15.5" x14ac:dyDescent="0.35"/>
    <row r="2293" ht="15.5" x14ac:dyDescent="0.35"/>
    <row r="2294" ht="15.5" x14ac:dyDescent="0.35"/>
    <row r="2295" ht="15.5" x14ac:dyDescent="0.35"/>
    <row r="2296" ht="15.5" x14ac:dyDescent="0.35"/>
    <row r="2297" ht="15.5" x14ac:dyDescent="0.35"/>
    <row r="2298" ht="15.5" x14ac:dyDescent="0.35"/>
    <row r="2299" ht="15.5" x14ac:dyDescent="0.35"/>
    <row r="2300" ht="15.5" x14ac:dyDescent="0.35"/>
    <row r="2301" ht="15.5" x14ac:dyDescent="0.35"/>
    <row r="2302" ht="15.5" x14ac:dyDescent="0.35"/>
    <row r="2303" ht="15.5" x14ac:dyDescent="0.35"/>
    <row r="2304" ht="15.5" x14ac:dyDescent="0.35"/>
    <row r="2305" ht="15.5" x14ac:dyDescent="0.35"/>
    <row r="2306" ht="15.5" x14ac:dyDescent="0.35"/>
    <row r="2307" ht="15.5" x14ac:dyDescent="0.35"/>
    <row r="2308" ht="15.5" x14ac:dyDescent="0.35"/>
    <row r="2309" ht="15.5" x14ac:dyDescent="0.35"/>
    <row r="2310" ht="15.5" x14ac:dyDescent="0.35"/>
    <row r="2311" ht="15.5" x14ac:dyDescent="0.35"/>
    <row r="2312" ht="15.5" x14ac:dyDescent="0.35"/>
    <row r="2313" ht="15.5" x14ac:dyDescent="0.35"/>
    <row r="2314" ht="15.5" x14ac:dyDescent="0.35"/>
    <row r="2315" ht="15.5" x14ac:dyDescent="0.35"/>
    <row r="2316" ht="15.5" x14ac:dyDescent="0.35"/>
    <row r="2317" ht="15.5" x14ac:dyDescent="0.35"/>
    <row r="2318" ht="15.5" x14ac:dyDescent="0.35"/>
    <row r="2319" ht="15.5" x14ac:dyDescent="0.35"/>
    <row r="2320" ht="15.5" x14ac:dyDescent="0.35"/>
    <row r="2321" ht="15.5" x14ac:dyDescent="0.35"/>
    <row r="2322" ht="15.5" x14ac:dyDescent="0.35"/>
    <row r="2323" ht="15.5" x14ac:dyDescent="0.35"/>
    <row r="2324" ht="15.5" x14ac:dyDescent="0.35"/>
    <row r="2325" ht="15.5" x14ac:dyDescent="0.35"/>
    <row r="2326" ht="15.5" x14ac:dyDescent="0.35"/>
    <row r="2327" ht="15.5" x14ac:dyDescent="0.35"/>
    <row r="2328" ht="15.5" x14ac:dyDescent="0.35"/>
    <row r="2329" ht="15.5" x14ac:dyDescent="0.35"/>
    <row r="2330" ht="15.5" x14ac:dyDescent="0.35"/>
    <row r="2331" ht="15.5" x14ac:dyDescent="0.35"/>
    <row r="2332" ht="15.5" x14ac:dyDescent="0.35"/>
    <row r="2333" ht="15.5" x14ac:dyDescent="0.35"/>
    <row r="2334" ht="15.5" x14ac:dyDescent="0.35"/>
    <row r="2335" ht="15.5" x14ac:dyDescent="0.35"/>
    <row r="2336" ht="15.5" x14ac:dyDescent="0.35"/>
    <row r="2337" ht="15.5" x14ac:dyDescent="0.35"/>
    <row r="2338" ht="15.5" x14ac:dyDescent="0.35"/>
    <row r="2339" ht="15.5" x14ac:dyDescent="0.35"/>
    <row r="2340" ht="15.5" x14ac:dyDescent="0.35"/>
    <row r="2341" ht="15.5" x14ac:dyDescent="0.35"/>
    <row r="2342" ht="15.5" x14ac:dyDescent="0.35"/>
    <row r="2343" ht="15.5" x14ac:dyDescent="0.35"/>
    <row r="2344" ht="15.5" x14ac:dyDescent="0.35"/>
    <row r="2345" ht="15.5" x14ac:dyDescent="0.35"/>
    <row r="2346" ht="15.5" x14ac:dyDescent="0.35"/>
    <row r="2347" ht="15.5" x14ac:dyDescent="0.35"/>
    <row r="2348" ht="15.5" x14ac:dyDescent="0.35"/>
    <row r="2349" ht="15.5" x14ac:dyDescent="0.35"/>
    <row r="2350" ht="15.5" x14ac:dyDescent="0.35"/>
    <row r="2351" ht="15.5" x14ac:dyDescent="0.35"/>
    <row r="2352" ht="15.5" x14ac:dyDescent="0.35"/>
    <row r="2353" ht="15.5" x14ac:dyDescent="0.35"/>
    <row r="2354" ht="15.5" x14ac:dyDescent="0.35"/>
    <row r="2355" ht="15.5" x14ac:dyDescent="0.35"/>
    <row r="2356" ht="15.5" x14ac:dyDescent="0.35"/>
    <row r="2357" ht="15.5" x14ac:dyDescent="0.35"/>
    <row r="2358" ht="15.5" x14ac:dyDescent="0.35"/>
    <row r="2359" ht="15.5" x14ac:dyDescent="0.35"/>
    <row r="2360" ht="15.5" x14ac:dyDescent="0.35"/>
    <row r="2361" ht="15.5" x14ac:dyDescent="0.35"/>
    <row r="2362" ht="15.5" x14ac:dyDescent="0.35"/>
    <row r="2363" ht="15.5" x14ac:dyDescent="0.35"/>
    <row r="2364" ht="15.5" x14ac:dyDescent="0.35"/>
    <row r="2365" ht="15.5" x14ac:dyDescent="0.35"/>
    <row r="2366" ht="15.5" x14ac:dyDescent="0.35"/>
    <row r="2367" ht="15.5" x14ac:dyDescent="0.35"/>
    <row r="2368" ht="15.5" x14ac:dyDescent="0.35"/>
    <row r="2369" ht="15.5" x14ac:dyDescent="0.35"/>
    <row r="2370" ht="15.5" x14ac:dyDescent="0.35"/>
    <row r="2371" ht="15.5" x14ac:dyDescent="0.35"/>
    <row r="2372" ht="15.5" x14ac:dyDescent="0.35"/>
    <row r="2373" ht="15.5" x14ac:dyDescent="0.35"/>
    <row r="2374" ht="15.5" x14ac:dyDescent="0.35"/>
    <row r="2375" ht="15.5" x14ac:dyDescent="0.35"/>
    <row r="2376" ht="15.5" x14ac:dyDescent="0.35"/>
    <row r="2377" ht="15.5" x14ac:dyDescent="0.35"/>
    <row r="2378" ht="15.5" x14ac:dyDescent="0.35"/>
    <row r="2379" ht="15.5" x14ac:dyDescent="0.35"/>
    <row r="2380" ht="15.5" x14ac:dyDescent="0.35"/>
    <row r="2381" ht="15.5" x14ac:dyDescent="0.35"/>
    <row r="2382" ht="15.5" x14ac:dyDescent="0.35"/>
    <row r="2383" ht="15.5" x14ac:dyDescent="0.35"/>
    <row r="2384" ht="15.5" x14ac:dyDescent="0.35"/>
    <row r="2385" ht="15.5" x14ac:dyDescent="0.35"/>
    <row r="2386" ht="15.5" x14ac:dyDescent="0.35"/>
    <row r="2387" ht="15.5" x14ac:dyDescent="0.35"/>
    <row r="2388" ht="15.5" x14ac:dyDescent="0.35"/>
    <row r="2389" ht="15.5" x14ac:dyDescent="0.35"/>
    <row r="2390" ht="15.5" x14ac:dyDescent="0.35"/>
    <row r="2391" ht="15.5" x14ac:dyDescent="0.35"/>
    <row r="2392" ht="15.5" x14ac:dyDescent="0.35"/>
    <row r="2393" ht="15.5" x14ac:dyDescent="0.35"/>
    <row r="2394" ht="15.5" x14ac:dyDescent="0.35"/>
    <row r="2395" ht="15.5" x14ac:dyDescent="0.35"/>
    <row r="2396" ht="15.5" x14ac:dyDescent="0.35"/>
    <row r="2397" ht="15.5" x14ac:dyDescent="0.35"/>
    <row r="2398" ht="15.5" x14ac:dyDescent="0.35"/>
    <row r="2399" ht="15.5" x14ac:dyDescent="0.35"/>
    <row r="2400" ht="15.5" x14ac:dyDescent="0.35"/>
    <row r="2401" ht="15.5" x14ac:dyDescent="0.35"/>
    <row r="2402" ht="15.5" x14ac:dyDescent="0.35"/>
    <row r="2403" ht="15.5" x14ac:dyDescent="0.35"/>
    <row r="2404" ht="15.5" x14ac:dyDescent="0.35"/>
    <row r="2405" ht="15.5" x14ac:dyDescent="0.35"/>
    <row r="2406" ht="15.5" x14ac:dyDescent="0.35"/>
    <row r="2407" ht="15.5" x14ac:dyDescent="0.35"/>
    <row r="2408" ht="15.5" x14ac:dyDescent="0.35"/>
    <row r="2409" ht="15.5" x14ac:dyDescent="0.35"/>
    <row r="2410" ht="15.5" x14ac:dyDescent="0.35"/>
    <row r="2411" ht="15.5" x14ac:dyDescent="0.35"/>
    <row r="2412" ht="15.5" x14ac:dyDescent="0.35"/>
    <row r="2413" ht="15.5" x14ac:dyDescent="0.35"/>
    <row r="2414" ht="15.5" x14ac:dyDescent="0.35"/>
    <row r="2415" ht="15.5" x14ac:dyDescent="0.35"/>
    <row r="2416" ht="15.5" x14ac:dyDescent="0.35"/>
    <row r="2417" ht="15.5" x14ac:dyDescent="0.35"/>
    <row r="2418" ht="15.5" x14ac:dyDescent="0.35"/>
    <row r="2419" ht="15.5" x14ac:dyDescent="0.35"/>
    <row r="2420" ht="15.5" x14ac:dyDescent="0.35"/>
    <row r="2421" ht="15.5" x14ac:dyDescent="0.35"/>
    <row r="2422" ht="15.5" x14ac:dyDescent="0.35"/>
    <row r="2423" ht="15.5" x14ac:dyDescent="0.35"/>
    <row r="2424" ht="15.5" x14ac:dyDescent="0.35"/>
    <row r="2425" ht="15.5" x14ac:dyDescent="0.35"/>
    <row r="2426" ht="15.5" x14ac:dyDescent="0.35"/>
    <row r="2427" ht="15.5" x14ac:dyDescent="0.35"/>
    <row r="2428" ht="15.5" x14ac:dyDescent="0.35"/>
    <row r="2429" ht="15.5" x14ac:dyDescent="0.35"/>
    <row r="2430" ht="15.5" x14ac:dyDescent="0.35"/>
    <row r="2431" ht="15.5" x14ac:dyDescent="0.35"/>
    <row r="2432" ht="15.5" x14ac:dyDescent="0.35"/>
    <row r="2433" ht="15.5" x14ac:dyDescent="0.35"/>
    <row r="2434" ht="15.5" x14ac:dyDescent="0.35"/>
    <row r="2435" ht="15.5" x14ac:dyDescent="0.35"/>
    <row r="2436" ht="15.5" x14ac:dyDescent="0.35"/>
    <row r="2437" ht="15.5" x14ac:dyDescent="0.35"/>
    <row r="2438" ht="15.5" x14ac:dyDescent="0.35"/>
    <row r="2439" ht="15.5" x14ac:dyDescent="0.35"/>
    <row r="2440" ht="15.5" x14ac:dyDescent="0.35"/>
    <row r="2441" ht="15.5" x14ac:dyDescent="0.35"/>
    <row r="2442" ht="15.5" x14ac:dyDescent="0.35"/>
    <row r="2443" ht="15.5" x14ac:dyDescent="0.35"/>
    <row r="2444" ht="15.5" x14ac:dyDescent="0.35"/>
    <row r="2445" ht="15.5" x14ac:dyDescent="0.35"/>
    <row r="2446" ht="15.5" x14ac:dyDescent="0.35"/>
    <row r="2447" ht="15.5" x14ac:dyDescent="0.35"/>
    <row r="2448" ht="15.5" x14ac:dyDescent="0.35"/>
    <row r="2449" ht="15.5" x14ac:dyDescent="0.35"/>
    <row r="2450" ht="15.5" x14ac:dyDescent="0.35"/>
    <row r="2451" ht="15.5" x14ac:dyDescent="0.35"/>
    <row r="2452" ht="15.5" x14ac:dyDescent="0.35"/>
    <row r="2453" ht="15.5" x14ac:dyDescent="0.35"/>
    <row r="2454" ht="15.5" x14ac:dyDescent="0.35"/>
    <row r="2455" ht="15.5" x14ac:dyDescent="0.35"/>
    <row r="2456" ht="15.5" x14ac:dyDescent="0.35"/>
    <row r="2457" ht="15.5" x14ac:dyDescent="0.35"/>
    <row r="2458" ht="15.5" x14ac:dyDescent="0.35"/>
    <row r="2459" ht="15.5" x14ac:dyDescent="0.35"/>
    <row r="2460" ht="15.5" x14ac:dyDescent="0.35"/>
    <row r="2461" ht="15.5" x14ac:dyDescent="0.35"/>
    <row r="2462" ht="15.5" x14ac:dyDescent="0.35"/>
    <row r="2463" ht="15.5" x14ac:dyDescent="0.35"/>
    <row r="2464" ht="15.5" x14ac:dyDescent="0.35"/>
    <row r="2465" ht="15.5" x14ac:dyDescent="0.35"/>
    <row r="2466" ht="15.5" x14ac:dyDescent="0.35"/>
    <row r="2467" ht="15.5" x14ac:dyDescent="0.35"/>
    <row r="2468" ht="15.5" x14ac:dyDescent="0.35"/>
    <row r="2469" ht="15.5" x14ac:dyDescent="0.35"/>
    <row r="2470" ht="15.5" x14ac:dyDescent="0.35"/>
    <row r="2471" ht="15.5" x14ac:dyDescent="0.35"/>
    <row r="2472" ht="15.5" x14ac:dyDescent="0.35"/>
    <row r="2473" ht="15.5" x14ac:dyDescent="0.35"/>
    <row r="2474" ht="15.5" x14ac:dyDescent="0.35"/>
    <row r="2475" ht="15.5" x14ac:dyDescent="0.35"/>
    <row r="2476" ht="15.5" x14ac:dyDescent="0.35"/>
    <row r="2477" ht="15.5" x14ac:dyDescent="0.35"/>
    <row r="2478" ht="15.5" x14ac:dyDescent="0.35"/>
    <row r="2479" ht="15.5" x14ac:dyDescent="0.35"/>
    <row r="2480" ht="15.5" x14ac:dyDescent="0.35"/>
    <row r="2481" ht="15.5" x14ac:dyDescent="0.35"/>
    <row r="2482" ht="15.5" x14ac:dyDescent="0.35"/>
    <row r="2483" ht="15.5" x14ac:dyDescent="0.35"/>
    <row r="2484" ht="15.5" x14ac:dyDescent="0.35"/>
    <row r="2485" ht="15.5" x14ac:dyDescent="0.35"/>
    <row r="2486" ht="15.5" x14ac:dyDescent="0.35"/>
    <row r="2487" ht="15.5" x14ac:dyDescent="0.35"/>
    <row r="2488" ht="15.5" x14ac:dyDescent="0.35"/>
    <row r="2489" ht="15.5" x14ac:dyDescent="0.35"/>
    <row r="2490" ht="15.5" x14ac:dyDescent="0.35"/>
    <row r="2491" ht="15.5" x14ac:dyDescent="0.35"/>
    <row r="2492" ht="15.5" x14ac:dyDescent="0.35"/>
    <row r="2493" ht="15.5" x14ac:dyDescent="0.35"/>
    <row r="2494" ht="15.5" x14ac:dyDescent="0.35"/>
    <row r="2495" ht="15.5" x14ac:dyDescent="0.35"/>
    <row r="2496" ht="15.5" x14ac:dyDescent="0.35"/>
    <row r="2497" ht="15.5" x14ac:dyDescent="0.35"/>
    <row r="2498" ht="15.5" x14ac:dyDescent="0.35"/>
    <row r="2499" ht="15.5" x14ac:dyDescent="0.35"/>
    <row r="2500" ht="15.5" x14ac:dyDescent="0.35"/>
    <row r="2501" ht="15.5" x14ac:dyDescent="0.35"/>
    <row r="2502" ht="15.5" x14ac:dyDescent="0.35"/>
    <row r="2503" ht="15.5" x14ac:dyDescent="0.35"/>
    <row r="2504" ht="15.5" x14ac:dyDescent="0.35"/>
    <row r="2505" ht="15.5" x14ac:dyDescent="0.35"/>
    <row r="2506" ht="15.5" x14ac:dyDescent="0.35"/>
    <row r="2507" ht="15.5" x14ac:dyDescent="0.35"/>
    <row r="2508" ht="15.5" x14ac:dyDescent="0.35"/>
    <row r="2509" ht="15.5" x14ac:dyDescent="0.35"/>
    <row r="2510" ht="15.5" x14ac:dyDescent="0.35"/>
    <row r="2511" ht="15.5" x14ac:dyDescent="0.35"/>
    <row r="2512" ht="15.5" x14ac:dyDescent="0.35"/>
    <row r="2513" ht="15.5" x14ac:dyDescent="0.35"/>
    <row r="2514" ht="15.5" x14ac:dyDescent="0.35"/>
    <row r="2515" ht="15.5" x14ac:dyDescent="0.35"/>
    <row r="2516" ht="15.5" x14ac:dyDescent="0.35"/>
    <row r="2517" ht="15.5" x14ac:dyDescent="0.35"/>
    <row r="2518" ht="15.5" x14ac:dyDescent="0.35"/>
    <row r="2519" ht="15.5" x14ac:dyDescent="0.35"/>
    <row r="2520" ht="15.5" x14ac:dyDescent="0.35"/>
    <row r="2521" ht="15.5" x14ac:dyDescent="0.35"/>
    <row r="2522" ht="15.5" x14ac:dyDescent="0.35"/>
    <row r="2523" ht="15.5" x14ac:dyDescent="0.35"/>
    <row r="2524" ht="15.5" x14ac:dyDescent="0.35"/>
    <row r="2525" ht="15.5" x14ac:dyDescent="0.35"/>
    <row r="2526" ht="15.5" x14ac:dyDescent="0.35"/>
    <row r="2527" ht="15.5" x14ac:dyDescent="0.35"/>
    <row r="2528" ht="15.5" x14ac:dyDescent="0.35"/>
    <row r="2529" ht="15.5" x14ac:dyDescent="0.35"/>
    <row r="2530" ht="15.5" x14ac:dyDescent="0.35"/>
    <row r="2531" ht="15.5" x14ac:dyDescent="0.35"/>
    <row r="2532" ht="15.5" x14ac:dyDescent="0.35"/>
    <row r="2533" ht="15.5" x14ac:dyDescent="0.35"/>
    <row r="2534" ht="15.5" x14ac:dyDescent="0.35"/>
    <row r="2535" ht="15.5" x14ac:dyDescent="0.35"/>
    <row r="2536" ht="15.5" x14ac:dyDescent="0.35"/>
    <row r="2537" ht="15.5" x14ac:dyDescent="0.35"/>
    <row r="2538" ht="15.5" x14ac:dyDescent="0.35"/>
    <row r="2539" ht="15.5" x14ac:dyDescent="0.35"/>
    <row r="2540" ht="15.5" x14ac:dyDescent="0.35"/>
    <row r="2541" ht="15.5" x14ac:dyDescent="0.35"/>
    <row r="2542" ht="15.5" x14ac:dyDescent="0.35"/>
    <row r="2543" ht="15.5" x14ac:dyDescent="0.35"/>
    <row r="2544" ht="15.5" x14ac:dyDescent="0.35"/>
    <row r="2545" ht="15.5" x14ac:dyDescent="0.35"/>
    <row r="2546" ht="15.5" x14ac:dyDescent="0.35"/>
    <row r="2547" ht="15.5" x14ac:dyDescent="0.35"/>
    <row r="2548" ht="15.5" x14ac:dyDescent="0.35"/>
    <row r="2549" ht="15.5" x14ac:dyDescent="0.35"/>
    <row r="2550" ht="15.5" x14ac:dyDescent="0.35"/>
    <row r="2551" ht="15.5" x14ac:dyDescent="0.35"/>
    <row r="2552" ht="15.5" x14ac:dyDescent="0.35"/>
    <row r="2553" ht="15.5" x14ac:dyDescent="0.35"/>
    <row r="2554" ht="15.5" x14ac:dyDescent="0.35"/>
    <row r="2555" ht="15.5" x14ac:dyDescent="0.35"/>
    <row r="2556" ht="15.5" x14ac:dyDescent="0.35"/>
    <row r="2557" ht="15.5" x14ac:dyDescent="0.35"/>
    <row r="2558" ht="15.5" x14ac:dyDescent="0.35"/>
    <row r="2559" ht="15.5" x14ac:dyDescent="0.35"/>
    <row r="2560" ht="15.5" x14ac:dyDescent="0.35"/>
    <row r="2561" ht="15.5" x14ac:dyDescent="0.35"/>
    <row r="2562" ht="15.5" x14ac:dyDescent="0.35"/>
    <row r="2563" ht="15.5" x14ac:dyDescent="0.35"/>
    <row r="2564" ht="15.5" x14ac:dyDescent="0.35"/>
    <row r="2565" ht="15.5" x14ac:dyDescent="0.35"/>
    <row r="2566" ht="15.5" x14ac:dyDescent="0.35"/>
    <row r="2567" ht="15.5" x14ac:dyDescent="0.35"/>
    <row r="2568" ht="15.5" x14ac:dyDescent="0.35"/>
    <row r="2569" ht="15.5" x14ac:dyDescent="0.35"/>
    <row r="2570" ht="15.5" x14ac:dyDescent="0.35"/>
    <row r="2571" ht="15.5" x14ac:dyDescent="0.35"/>
    <row r="2572" ht="15.5" x14ac:dyDescent="0.35"/>
    <row r="2573" ht="15.5" x14ac:dyDescent="0.35"/>
    <row r="2574" ht="15.5" x14ac:dyDescent="0.35"/>
    <row r="2575" ht="15.5" x14ac:dyDescent="0.35"/>
    <row r="2576" ht="15.5" x14ac:dyDescent="0.35"/>
    <row r="2577" ht="15.5" x14ac:dyDescent="0.35"/>
    <row r="2578" ht="15.5" x14ac:dyDescent="0.35"/>
    <row r="2579" ht="15.5" x14ac:dyDescent="0.35"/>
    <row r="2580" ht="15.5" x14ac:dyDescent="0.35"/>
    <row r="2581" ht="15.5" x14ac:dyDescent="0.35"/>
    <row r="2582" ht="15.5" x14ac:dyDescent="0.35"/>
    <row r="2583" ht="15.5" x14ac:dyDescent="0.35"/>
    <row r="2584" ht="15.5" x14ac:dyDescent="0.35"/>
    <row r="2585" ht="15.5" x14ac:dyDescent="0.35"/>
    <row r="2586" ht="15.5" x14ac:dyDescent="0.35"/>
    <row r="2587" ht="15.5" x14ac:dyDescent="0.35"/>
    <row r="2588" ht="15.5" x14ac:dyDescent="0.35"/>
    <row r="2589" ht="15.5" x14ac:dyDescent="0.35"/>
    <row r="2590" ht="15.5" x14ac:dyDescent="0.35"/>
    <row r="2591" ht="15.5" x14ac:dyDescent="0.35"/>
    <row r="2592" ht="15.5" x14ac:dyDescent="0.35"/>
    <row r="2593" ht="15.5" x14ac:dyDescent="0.35"/>
    <row r="2594" ht="15.5" x14ac:dyDescent="0.35"/>
    <row r="2595" ht="15.5" x14ac:dyDescent="0.35"/>
    <row r="2596" ht="15.5" x14ac:dyDescent="0.35"/>
    <row r="2597" ht="15.5" x14ac:dyDescent="0.35"/>
    <row r="2598" ht="15.5" x14ac:dyDescent="0.35"/>
    <row r="2599" ht="15.5" x14ac:dyDescent="0.35"/>
    <row r="2600" ht="15.5" x14ac:dyDescent="0.35"/>
    <row r="2601" ht="15.5" x14ac:dyDescent="0.35"/>
    <row r="2602" ht="15.5" x14ac:dyDescent="0.35"/>
    <row r="2603" ht="15.5" x14ac:dyDescent="0.35"/>
    <row r="2604" ht="15.5" x14ac:dyDescent="0.35"/>
    <row r="2605" ht="15.5" x14ac:dyDescent="0.35"/>
    <row r="2606" ht="15.5" x14ac:dyDescent="0.35"/>
    <row r="2607" ht="15.5" x14ac:dyDescent="0.35"/>
    <row r="2608" ht="15.5" x14ac:dyDescent="0.35"/>
    <row r="2609" ht="15.5" x14ac:dyDescent="0.35"/>
    <row r="2610" ht="15.5" x14ac:dyDescent="0.35"/>
    <row r="2611" ht="15.5" x14ac:dyDescent="0.35"/>
    <row r="2612" ht="15.5" x14ac:dyDescent="0.35"/>
    <row r="2613" ht="15.5" x14ac:dyDescent="0.35"/>
    <row r="2614" ht="15.5" x14ac:dyDescent="0.35"/>
    <row r="2615" ht="15.5" x14ac:dyDescent="0.35"/>
    <row r="2616" ht="15.5" x14ac:dyDescent="0.35"/>
    <row r="2617" ht="15.5" x14ac:dyDescent="0.35"/>
    <row r="2618" ht="15.5" x14ac:dyDescent="0.35"/>
    <row r="2619" ht="15.5" x14ac:dyDescent="0.35"/>
    <row r="2620" ht="15.5" x14ac:dyDescent="0.35"/>
    <row r="2621" ht="15.5" x14ac:dyDescent="0.35"/>
    <row r="2622" ht="15.5" x14ac:dyDescent="0.35"/>
    <row r="2623" ht="15.5" x14ac:dyDescent="0.35"/>
    <row r="2624" ht="15.5" x14ac:dyDescent="0.35"/>
    <row r="2625" ht="15.5" x14ac:dyDescent="0.35"/>
    <row r="2626" ht="15.5" x14ac:dyDescent="0.35"/>
    <row r="2627" ht="15.5" x14ac:dyDescent="0.35"/>
    <row r="2628" ht="15.5" x14ac:dyDescent="0.35"/>
    <row r="2629" ht="15.5" x14ac:dyDescent="0.35"/>
    <row r="2630" ht="15.5" x14ac:dyDescent="0.35"/>
    <row r="2631" ht="15.5" x14ac:dyDescent="0.35"/>
    <row r="2632" ht="15.5" x14ac:dyDescent="0.35"/>
    <row r="2633" ht="15.5" x14ac:dyDescent="0.35"/>
    <row r="2634" ht="15.5" x14ac:dyDescent="0.35"/>
    <row r="2635" ht="15.5" x14ac:dyDescent="0.35"/>
    <row r="2636" ht="15.5" x14ac:dyDescent="0.35"/>
    <row r="2637" ht="15.5" x14ac:dyDescent="0.35"/>
    <row r="2638" ht="15.5" x14ac:dyDescent="0.35"/>
    <row r="2639" ht="15.5" x14ac:dyDescent="0.35"/>
    <row r="2640" ht="15.5" x14ac:dyDescent="0.35"/>
    <row r="2641" ht="15.5" x14ac:dyDescent="0.35"/>
    <row r="2642" ht="15.5" x14ac:dyDescent="0.35"/>
    <row r="2643" ht="15.5" x14ac:dyDescent="0.35"/>
    <row r="2644" ht="15.5" x14ac:dyDescent="0.35"/>
    <row r="2645" ht="15.5" x14ac:dyDescent="0.35"/>
    <row r="2646" ht="15.5" x14ac:dyDescent="0.35"/>
    <row r="2647" ht="15.5" x14ac:dyDescent="0.35"/>
    <row r="2648" ht="15.5" x14ac:dyDescent="0.35"/>
    <row r="2649" ht="15.5" x14ac:dyDescent="0.35"/>
    <row r="2650" ht="15.5" x14ac:dyDescent="0.35"/>
    <row r="2651" ht="15.5" x14ac:dyDescent="0.35"/>
    <row r="2652" ht="15.5" x14ac:dyDescent="0.35"/>
    <row r="2653" ht="15.5" x14ac:dyDescent="0.35"/>
    <row r="2654" ht="15.5" x14ac:dyDescent="0.35"/>
    <row r="2655" ht="15.5" x14ac:dyDescent="0.35"/>
    <row r="2656" ht="15.5" x14ac:dyDescent="0.35"/>
    <row r="2657" ht="15.5" x14ac:dyDescent="0.35"/>
    <row r="2658" ht="15.5" x14ac:dyDescent="0.35"/>
    <row r="2659" ht="15.5" x14ac:dyDescent="0.35"/>
    <row r="2660" ht="15.5" x14ac:dyDescent="0.35"/>
    <row r="2661" ht="15.5" x14ac:dyDescent="0.35"/>
    <row r="2662" ht="15.5" x14ac:dyDescent="0.35"/>
    <row r="2663" ht="15.5" x14ac:dyDescent="0.35"/>
    <row r="2664" ht="15.5" x14ac:dyDescent="0.35"/>
    <row r="2665" ht="15.5" x14ac:dyDescent="0.35"/>
    <row r="2666" ht="15.5" x14ac:dyDescent="0.35"/>
    <row r="2667" ht="15.5" x14ac:dyDescent="0.35"/>
    <row r="2668" ht="15.5" x14ac:dyDescent="0.35"/>
    <row r="2669" ht="15.5" x14ac:dyDescent="0.35"/>
    <row r="2670" ht="15.5" x14ac:dyDescent="0.35"/>
    <row r="2671" ht="15.5" x14ac:dyDescent="0.35"/>
    <row r="2672" ht="15.5" x14ac:dyDescent="0.35"/>
    <row r="2673" ht="15.5" x14ac:dyDescent="0.35"/>
    <row r="2674" ht="15.5" x14ac:dyDescent="0.35"/>
    <row r="2675" ht="15.5" x14ac:dyDescent="0.35"/>
    <row r="2676" ht="15.5" x14ac:dyDescent="0.35"/>
    <row r="2677" ht="15.5" x14ac:dyDescent="0.35"/>
    <row r="2678" ht="15.5" x14ac:dyDescent="0.35"/>
    <row r="2679" ht="15.5" x14ac:dyDescent="0.35"/>
    <row r="2680" ht="15.5" x14ac:dyDescent="0.35"/>
    <row r="2681" ht="15.5" x14ac:dyDescent="0.35"/>
    <row r="2682" ht="15.5" x14ac:dyDescent="0.35"/>
    <row r="2683" ht="15.5" x14ac:dyDescent="0.35"/>
    <row r="2684" ht="15.5" x14ac:dyDescent="0.35"/>
    <row r="2685" ht="15.5" x14ac:dyDescent="0.35"/>
    <row r="2686" ht="15.5" x14ac:dyDescent="0.35"/>
    <row r="2687" ht="15.5" x14ac:dyDescent="0.35"/>
    <row r="2688" ht="15.5" x14ac:dyDescent="0.35"/>
    <row r="2689" ht="15.5" x14ac:dyDescent="0.35"/>
    <row r="2690" ht="15.5" x14ac:dyDescent="0.35"/>
    <row r="2691" ht="15.5" x14ac:dyDescent="0.35"/>
    <row r="2692" ht="15.5" x14ac:dyDescent="0.35"/>
    <row r="2693" ht="15.5" x14ac:dyDescent="0.35"/>
    <row r="2694" ht="15.5" x14ac:dyDescent="0.35"/>
    <row r="2695" ht="15.5" x14ac:dyDescent="0.35"/>
    <row r="2696" ht="15.5" x14ac:dyDescent="0.35"/>
    <row r="2697" ht="15.5" x14ac:dyDescent="0.35"/>
    <row r="2698" ht="15.5" x14ac:dyDescent="0.35"/>
    <row r="2699" ht="15.5" x14ac:dyDescent="0.35"/>
    <row r="2700" ht="15.5" x14ac:dyDescent="0.35"/>
    <row r="2701" ht="15.5" x14ac:dyDescent="0.35"/>
    <row r="2702" ht="15.5" x14ac:dyDescent="0.35"/>
    <row r="2703" ht="15.5" x14ac:dyDescent="0.35"/>
    <row r="2704" ht="15.5" x14ac:dyDescent="0.35"/>
    <row r="2705" ht="15.5" x14ac:dyDescent="0.35"/>
    <row r="2706" ht="15.5" x14ac:dyDescent="0.35"/>
    <row r="2707" ht="15.5" x14ac:dyDescent="0.35"/>
    <row r="2708" ht="15.5" x14ac:dyDescent="0.35"/>
    <row r="2709" ht="15.5" x14ac:dyDescent="0.35"/>
    <row r="2710" ht="15.5" x14ac:dyDescent="0.35"/>
    <row r="2711" ht="15.5" x14ac:dyDescent="0.35"/>
    <row r="2712" ht="15.5" x14ac:dyDescent="0.35"/>
    <row r="2713" ht="15.5" x14ac:dyDescent="0.35"/>
    <row r="2714" ht="15.5" x14ac:dyDescent="0.35"/>
    <row r="2715" ht="15.5" x14ac:dyDescent="0.35"/>
    <row r="2716" ht="15.5" x14ac:dyDescent="0.35"/>
    <row r="2717" ht="15.5" x14ac:dyDescent="0.35"/>
    <row r="2718" ht="15.5" x14ac:dyDescent="0.35"/>
    <row r="2719" ht="15.5" x14ac:dyDescent="0.35"/>
    <row r="2720" ht="15.5" x14ac:dyDescent="0.35"/>
    <row r="2721" ht="15.5" x14ac:dyDescent="0.35"/>
    <row r="2722" ht="15.5" x14ac:dyDescent="0.35"/>
    <row r="2723" ht="15.5" x14ac:dyDescent="0.35"/>
    <row r="2724" ht="15.5" x14ac:dyDescent="0.35"/>
    <row r="2725" ht="15.5" x14ac:dyDescent="0.35"/>
    <row r="2726" ht="15.5" x14ac:dyDescent="0.35"/>
    <row r="2727" ht="15.5" x14ac:dyDescent="0.35"/>
    <row r="2728" ht="15.5" x14ac:dyDescent="0.35"/>
    <row r="2729" ht="15.5" x14ac:dyDescent="0.35"/>
    <row r="2730" ht="15.5" x14ac:dyDescent="0.35"/>
    <row r="2731" ht="15.5" x14ac:dyDescent="0.35"/>
    <row r="2732" ht="15.5" x14ac:dyDescent="0.35"/>
    <row r="2733" ht="15.5" x14ac:dyDescent="0.35"/>
    <row r="2734" ht="15.5" x14ac:dyDescent="0.35"/>
    <row r="2735" ht="15.5" x14ac:dyDescent="0.35"/>
    <row r="2736" ht="15.5" x14ac:dyDescent="0.35"/>
    <row r="2737" ht="15.5" x14ac:dyDescent="0.35"/>
    <row r="2738" ht="15.5" x14ac:dyDescent="0.35"/>
    <row r="2739" ht="15.5" x14ac:dyDescent="0.35"/>
    <row r="2740" ht="15.5" x14ac:dyDescent="0.35"/>
    <row r="2741" ht="15.5" x14ac:dyDescent="0.35"/>
    <row r="2742" ht="15.5" x14ac:dyDescent="0.35"/>
    <row r="2743" ht="15.5" x14ac:dyDescent="0.35"/>
    <row r="2744" ht="15.5" x14ac:dyDescent="0.35"/>
    <row r="2745" ht="15.5" x14ac:dyDescent="0.35"/>
    <row r="2746" ht="15.5" x14ac:dyDescent="0.35"/>
    <row r="2747" ht="15.5" x14ac:dyDescent="0.35"/>
    <row r="2748" ht="15.5" x14ac:dyDescent="0.35"/>
    <row r="2749" ht="15.5" x14ac:dyDescent="0.35"/>
    <row r="2750" ht="15.5" x14ac:dyDescent="0.35"/>
    <row r="2751" ht="15.5" x14ac:dyDescent="0.35"/>
    <row r="2752" ht="15.5" x14ac:dyDescent="0.35"/>
    <row r="2753" ht="15.5" x14ac:dyDescent="0.35"/>
    <row r="2754" ht="15.5" x14ac:dyDescent="0.35"/>
    <row r="2755" ht="15.5" x14ac:dyDescent="0.35"/>
    <row r="2756" ht="15.5" x14ac:dyDescent="0.35"/>
    <row r="2757" ht="15.5" x14ac:dyDescent="0.35"/>
    <row r="2758" ht="15.5" x14ac:dyDescent="0.35"/>
    <row r="2759" ht="15.5" x14ac:dyDescent="0.35"/>
    <row r="2760" ht="15.5" x14ac:dyDescent="0.35"/>
    <row r="2761" ht="15.5" x14ac:dyDescent="0.35"/>
    <row r="2762" ht="15.5" x14ac:dyDescent="0.35"/>
    <row r="2763" ht="15.5" x14ac:dyDescent="0.35"/>
    <row r="2764" ht="15.5" x14ac:dyDescent="0.35"/>
    <row r="2765" ht="15.5" x14ac:dyDescent="0.35"/>
    <row r="2766" ht="15.5" x14ac:dyDescent="0.35"/>
    <row r="2767" ht="15.5" x14ac:dyDescent="0.35"/>
    <row r="2768" ht="15.5" x14ac:dyDescent="0.35"/>
    <row r="2769" ht="15.5" x14ac:dyDescent="0.35"/>
    <row r="2770" ht="15.5" x14ac:dyDescent="0.35"/>
    <row r="2771" ht="15.5" x14ac:dyDescent="0.35"/>
    <row r="2772" ht="15.5" x14ac:dyDescent="0.35"/>
    <row r="2773" ht="15.5" x14ac:dyDescent="0.35"/>
    <row r="2774" ht="15.5" x14ac:dyDescent="0.35"/>
    <row r="2775" ht="15.5" x14ac:dyDescent="0.35"/>
    <row r="2776" ht="15.5" x14ac:dyDescent="0.35"/>
    <row r="2777" ht="15.5" x14ac:dyDescent="0.35"/>
    <row r="2778" ht="15.5" x14ac:dyDescent="0.35"/>
    <row r="2779" ht="15.5" x14ac:dyDescent="0.35"/>
    <row r="2780" ht="15.5" x14ac:dyDescent="0.35"/>
    <row r="2781" ht="15.5" x14ac:dyDescent="0.35"/>
    <row r="2782" ht="15.5" x14ac:dyDescent="0.35"/>
    <row r="2783" ht="15.5" x14ac:dyDescent="0.35"/>
    <row r="2784" ht="15.5" x14ac:dyDescent="0.35"/>
    <row r="2785" ht="15.5" x14ac:dyDescent="0.35"/>
    <row r="2786" ht="15.5" x14ac:dyDescent="0.35"/>
    <row r="2787" ht="15.5" x14ac:dyDescent="0.35"/>
    <row r="2788" ht="15.5" x14ac:dyDescent="0.35"/>
    <row r="2789" ht="15.5" x14ac:dyDescent="0.35"/>
    <row r="2790" ht="15.5" x14ac:dyDescent="0.35"/>
    <row r="2791" ht="15.5" x14ac:dyDescent="0.35"/>
    <row r="2792" ht="15.5" x14ac:dyDescent="0.35"/>
    <row r="2793" ht="15.5" x14ac:dyDescent="0.35"/>
    <row r="2794" ht="15.5" x14ac:dyDescent="0.35"/>
    <row r="2795" ht="15.5" x14ac:dyDescent="0.35"/>
    <row r="2796" ht="15.5" x14ac:dyDescent="0.35"/>
    <row r="2797" ht="15.5" x14ac:dyDescent="0.35"/>
    <row r="2798" ht="15.5" x14ac:dyDescent="0.35"/>
    <row r="2799" ht="15.5" x14ac:dyDescent="0.35"/>
    <row r="2800" ht="15.5" x14ac:dyDescent="0.35"/>
    <row r="2801" ht="15.5" x14ac:dyDescent="0.35"/>
    <row r="2802" ht="15.5" x14ac:dyDescent="0.35"/>
    <row r="2803" ht="15.5" x14ac:dyDescent="0.35"/>
    <row r="2804" ht="15.5" x14ac:dyDescent="0.35"/>
    <row r="2805" ht="15.5" x14ac:dyDescent="0.35"/>
    <row r="2806" ht="15.5" x14ac:dyDescent="0.35"/>
    <row r="2807" ht="15.5" x14ac:dyDescent="0.35"/>
    <row r="2808" ht="15.5" x14ac:dyDescent="0.35"/>
    <row r="2809" ht="15.5" x14ac:dyDescent="0.35"/>
    <row r="2810" ht="15.5" x14ac:dyDescent="0.35"/>
    <row r="2811" ht="15.5" x14ac:dyDescent="0.35"/>
    <row r="2812" ht="15.5" x14ac:dyDescent="0.35"/>
    <row r="2813" ht="15.5" x14ac:dyDescent="0.35"/>
    <row r="2814" ht="15.5" x14ac:dyDescent="0.35"/>
    <row r="2815" ht="15.5" x14ac:dyDescent="0.35"/>
    <row r="2816" ht="15.5" x14ac:dyDescent="0.35"/>
    <row r="2817" ht="15.5" x14ac:dyDescent="0.35"/>
    <row r="2818" ht="15.5" x14ac:dyDescent="0.35"/>
    <row r="2819" ht="15.5" x14ac:dyDescent="0.35"/>
    <row r="2820" ht="15.5" x14ac:dyDescent="0.35"/>
    <row r="2821" ht="15.5" x14ac:dyDescent="0.35"/>
    <row r="2822" ht="15.5" x14ac:dyDescent="0.35"/>
    <row r="2823" ht="15.5" x14ac:dyDescent="0.35"/>
    <row r="2824" ht="15.5" x14ac:dyDescent="0.35"/>
    <row r="2825" ht="15.5" x14ac:dyDescent="0.35"/>
    <row r="2826" ht="15.5" x14ac:dyDescent="0.35"/>
    <row r="2827" ht="15.5" x14ac:dyDescent="0.35"/>
    <row r="2828" ht="15.5" x14ac:dyDescent="0.35"/>
    <row r="2829" ht="15.5" x14ac:dyDescent="0.35"/>
    <row r="2830" ht="15.5" x14ac:dyDescent="0.35"/>
    <row r="2831" ht="15.5" x14ac:dyDescent="0.35"/>
    <row r="2832" ht="15.5" x14ac:dyDescent="0.35"/>
    <row r="2833" ht="15.5" x14ac:dyDescent="0.35"/>
    <row r="2834" ht="15.5" x14ac:dyDescent="0.35"/>
    <row r="2835" ht="15.5" x14ac:dyDescent="0.35"/>
    <row r="2836" ht="15.5" x14ac:dyDescent="0.35"/>
    <row r="2837" ht="15.5" x14ac:dyDescent="0.35"/>
    <row r="2838" ht="15.5" x14ac:dyDescent="0.35"/>
    <row r="2839" ht="15.5" x14ac:dyDescent="0.35"/>
    <row r="2840" ht="15.5" x14ac:dyDescent="0.35"/>
    <row r="2841" ht="15.5" x14ac:dyDescent="0.35"/>
    <row r="2842" ht="15.5" x14ac:dyDescent="0.35"/>
    <row r="2843" ht="15.5" x14ac:dyDescent="0.35"/>
    <row r="2844" ht="15.5" x14ac:dyDescent="0.35"/>
    <row r="2845" ht="15.5" x14ac:dyDescent="0.35"/>
    <row r="2846" ht="15.5" x14ac:dyDescent="0.35"/>
    <row r="2847" ht="15.5" x14ac:dyDescent="0.35"/>
    <row r="2848" ht="15.5" x14ac:dyDescent="0.35"/>
    <row r="2849" ht="15.5" x14ac:dyDescent="0.35"/>
    <row r="2850" ht="15.5" x14ac:dyDescent="0.35"/>
    <row r="2851" ht="15.5" x14ac:dyDescent="0.35"/>
    <row r="2852" ht="15.5" x14ac:dyDescent="0.35"/>
    <row r="2853" ht="15.5" x14ac:dyDescent="0.35"/>
    <row r="2854" ht="15.5" x14ac:dyDescent="0.35"/>
    <row r="2855" ht="15.5" x14ac:dyDescent="0.35"/>
    <row r="2856" ht="15.5" x14ac:dyDescent="0.35"/>
    <row r="2857" ht="15.5" x14ac:dyDescent="0.35"/>
    <row r="2858" ht="15.5" x14ac:dyDescent="0.35"/>
    <row r="2859" ht="15.5" x14ac:dyDescent="0.35"/>
    <row r="2860" ht="15.5" x14ac:dyDescent="0.35"/>
    <row r="2861" ht="15.5" x14ac:dyDescent="0.35"/>
    <row r="2862" ht="15.5" x14ac:dyDescent="0.35"/>
    <row r="2863" ht="15.5" x14ac:dyDescent="0.35"/>
    <row r="2864" ht="15.5" x14ac:dyDescent="0.35"/>
    <row r="2865" ht="15.5" x14ac:dyDescent="0.35"/>
    <row r="2866" ht="15.5" x14ac:dyDescent="0.35"/>
    <row r="2867" ht="15.5" x14ac:dyDescent="0.35"/>
    <row r="2868" ht="15.5" x14ac:dyDescent="0.35"/>
    <row r="2869" ht="15.5" x14ac:dyDescent="0.35"/>
    <row r="2870" ht="15.5" x14ac:dyDescent="0.35"/>
    <row r="2871" ht="15.5" x14ac:dyDescent="0.35"/>
    <row r="2872" ht="15.5" x14ac:dyDescent="0.35"/>
    <row r="2873" ht="15.5" x14ac:dyDescent="0.35"/>
    <row r="2874" ht="15.5" x14ac:dyDescent="0.35"/>
    <row r="2875" ht="15.5" x14ac:dyDescent="0.35"/>
    <row r="2876" ht="15.5" x14ac:dyDescent="0.35"/>
    <row r="2877" ht="15.5" x14ac:dyDescent="0.35"/>
    <row r="2878" ht="15.5" x14ac:dyDescent="0.35"/>
    <row r="2879" ht="15.5" x14ac:dyDescent="0.35"/>
    <row r="2880" ht="15.5" x14ac:dyDescent="0.35"/>
    <row r="2881" ht="15.5" x14ac:dyDescent="0.35"/>
    <row r="2882" ht="15.5" x14ac:dyDescent="0.35"/>
    <row r="2883" ht="15.5" x14ac:dyDescent="0.35"/>
    <row r="2884" ht="15.5" x14ac:dyDescent="0.35"/>
    <row r="2885" ht="15.5" x14ac:dyDescent="0.35"/>
    <row r="2886" ht="15.5" x14ac:dyDescent="0.35"/>
    <row r="2887" ht="15.5" x14ac:dyDescent="0.35"/>
    <row r="2888" ht="15.5" x14ac:dyDescent="0.35"/>
    <row r="2889" ht="15.5" x14ac:dyDescent="0.35"/>
    <row r="2890" ht="15.5" x14ac:dyDescent="0.35"/>
    <row r="2891" ht="15.5" x14ac:dyDescent="0.35"/>
    <row r="2892" ht="15.5" x14ac:dyDescent="0.35"/>
    <row r="2893" ht="15.5" x14ac:dyDescent="0.35"/>
    <row r="2894" ht="15.5" x14ac:dyDescent="0.35"/>
    <row r="2895" ht="15.5" x14ac:dyDescent="0.35"/>
    <row r="2896" ht="15.5" x14ac:dyDescent="0.35"/>
    <row r="2897" ht="15.5" x14ac:dyDescent="0.35"/>
    <row r="2898" ht="15.5" x14ac:dyDescent="0.35"/>
    <row r="2899" ht="15.5" x14ac:dyDescent="0.35"/>
    <row r="2900" ht="15.5" x14ac:dyDescent="0.35"/>
    <row r="2901" ht="15.5" x14ac:dyDescent="0.35"/>
    <row r="2902" ht="15.5" x14ac:dyDescent="0.35"/>
    <row r="2903" ht="15.5" x14ac:dyDescent="0.35"/>
    <row r="2904" ht="15.5" x14ac:dyDescent="0.35"/>
    <row r="2905" ht="15.5" x14ac:dyDescent="0.35"/>
    <row r="2906" ht="15.5" x14ac:dyDescent="0.35"/>
    <row r="2907" ht="15.5" x14ac:dyDescent="0.35"/>
    <row r="2908" ht="15.5" x14ac:dyDescent="0.35"/>
    <row r="2909" ht="15.5" x14ac:dyDescent="0.35"/>
    <row r="2910" ht="15.5" x14ac:dyDescent="0.35"/>
    <row r="2911" ht="15.5" x14ac:dyDescent="0.35"/>
    <row r="2912" ht="15.5" x14ac:dyDescent="0.35"/>
    <row r="2913" ht="15.5" x14ac:dyDescent="0.35"/>
    <row r="2914" ht="15.5" x14ac:dyDescent="0.35"/>
    <row r="2915" ht="15.5" x14ac:dyDescent="0.35"/>
    <row r="2916" ht="15.5" x14ac:dyDescent="0.35"/>
    <row r="2917" ht="15.5" x14ac:dyDescent="0.35"/>
    <row r="2918" ht="15.5" x14ac:dyDescent="0.35"/>
    <row r="2919" ht="15.5" x14ac:dyDescent="0.35"/>
    <row r="2920" ht="15.5" x14ac:dyDescent="0.35"/>
    <row r="2921" ht="15.5" x14ac:dyDescent="0.35"/>
    <row r="2922" ht="15.5" x14ac:dyDescent="0.35"/>
    <row r="2923" ht="15.5" x14ac:dyDescent="0.35"/>
    <row r="2924" ht="15.5" x14ac:dyDescent="0.35"/>
    <row r="2925" ht="15.5" x14ac:dyDescent="0.35"/>
    <row r="2926" ht="15.5" x14ac:dyDescent="0.35"/>
    <row r="2927" ht="15.5" x14ac:dyDescent="0.35"/>
    <row r="2928" ht="15.5" x14ac:dyDescent="0.35"/>
    <row r="2929" ht="15.5" x14ac:dyDescent="0.35"/>
    <row r="2930" ht="15.5" x14ac:dyDescent="0.35"/>
    <row r="2931" ht="15.5" x14ac:dyDescent="0.35"/>
    <row r="2932" ht="15.5" x14ac:dyDescent="0.35"/>
    <row r="2933" ht="15.5" x14ac:dyDescent="0.35"/>
    <row r="2934" ht="15.5" x14ac:dyDescent="0.35"/>
    <row r="2935" ht="15.5" x14ac:dyDescent="0.35"/>
    <row r="2936" ht="15.5" x14ac:dyDescent="0.35"/>
    <row r="2937" ht="15.5" x14ac:dyDescent="0.35"/>
    <row r="2938" ht="15.5" x14ac:dyDescent="0.35"/>
    <row r="2939" ht="15.5" x14ac:dyDescent="0.35"/>
    <row r="2940" ht="15.5" x14ac:dyDescent="0.35"/>
    <row r="2941" ht="15.5" x14ac:dyDescent="0.35"/>
    <row r="2942" ht="15.5" x14ac:dyDescent="0.35"/>
    <row r="2943" ht="15.5" x14ac:dyDescent="0.35"/>
    <row r="2944" ht="15.5" x14ac:dyDescent="0.35"/>
    <row r="2945" ht="15.5" x14ac:dyDescent="0.35"/>
    <row r="2946" ht="15.5" x14ac:dyDescent="0.35"/>
    <row r="2947" ht="15.5" x14ac:dyDescent="0.35"/>
    <row r="2948" ht="15.5" x14ac:dyDescent="0.35"/>
    <row r="2949" ht="15.5" x14ac:dyDescent="0.35"/>
    <row r="2950" ht="15.5" x14ac:dyDescent="0.35"/>
    <row r="2951" ht="15.5" x14ac:dyDescent="0.35"/>
    <row r="2952" ht="15.5" x14ac:dyDescent="0.35"/>
    <row r="2953" ht="15.5" x14ac:dyDescent="0.35"/>
    <row r="2954" ht="15.5" x14ac:dyDescent="0.35"/>
    <row r="2955" ht="15.5" x14ac:dyDescent="0.35"/>
    <row r="2956" ht="15.5" x14ac:dyDescent="0.35"/>
    <row r="2957" ht="15.5" x14ac:dyDescent="0.35"/>
    <row r="2958" ht="15.5" x14ac:dyDescent="0.35"/>
    <row r="2959" ht="15.5" x14ac:dyDescent="0.35"/>
    <row r="2960" ht="15.5" x14ac:dyDescent="0.35"/>
    <row r="2961" ht="15.5" x14ac:dyDescent="0.35"/>
    <row r="2962" ht="15.5" x14ac:dyDescent="0.35"/>
    <row r="2963" ht="15.5" x14ac:dyDescent="0.35"/>
    <row r="2964" ht="15.5" x14ac:dyDescent="0.35"/>
    <row r="2965" ht="15.5" x14ac:dyDescent="0.35"/>
    <row r="2966" ht="15.5" x14ac:dyDescent="0.35"/>
    <row r="2967" ht="15.5" x14ac:dyDescent="0.35"/>
    <row r="2968" ht="15.5" x14ac:dyDescent="0.35"/>
    <row r="2969" ht="15.5" x14ac:dyDescent="0.35"/>
    <row r="2970" ht="15.5" x14ac:dyDescent="0.35"/>
    <row r="2971" ht="15.5" x14ac:dyDescent="0.35"/>
    <row r="2972" ht="15.5" x14ac:dyDescent="0.35"/>
    <row r="2973" ht="15.5" x14ac:dyDescent="0.35"/>
    <row r="2974" ht="15.5" x14ac:dyDescent="0.35"/>
    <row r="2975" ht="15.5" x14ac:dyDescent="0.35"/>
    <row r="2976" ht="15.5" x14ac:dyDescent="0.35"/>
    <row r="2977" ht="15.5" x14ac:dyDescent="0.35"/>
    <row r="2978" ht="15.5" x14ac:dyDescent="0.35"/>
    <row r="2979" ht="15.5" x14ac:dyDescent="0.35"/>
    <row r="2980" ht="15.5" x14ac:dyDescent="0.35"/>
    <row r="2981" ht="15.5" x14ac:dyDescent="0.35"/>
    <row r="2982" ht="15.5" x14ac:dyDescent="0.35"/>
    <row r="2983" ht="15.5" x14ac:dyDescent="0.35"/>
    <row r="2984" ht="15.5" x14ac:dyDescent="0.35"/>
    <row r="2985" ht="15.5" x14ac:dyDescent="0.35"/>
    <row r="2986" ht="15.5" x14ac:dyDescent="0.35"/>
    <row r="2987" ht="15.5" x14ac:dyDescent="0.35"/>
    <row r="2988" ht="15.5" x14ac:dyDescent="0.35"/>
    <row r="2989" ht="15.5" x14ac:dyDescent="0.35"/>
    <row r="2990" ht="15.5" x14ac:dyDescent="0.35"/>
    <row r="2991" ht="15.5" x14ac:dyDescent="0.35"/>
    <row r="2992" ht="15.5" x14ac:dyDescent="0.35"/>
    <row r="2993" ht="15.5" x14ac:dyDescent="0.35"/>
    <row r="2994" ht="15.5" x14ac:dyDescent="0.35"/>
    <row r="2995" ht="15.5" x14ac:dyDescent="0.35"/>
    <row r="2996" ht="15.5" x14ac:dyDescent="0.35"/>
    <row r="2997" ht="15.5" x14ac:dyDescent="0.35"/>
    <row r="2998" ht="15.5" x14ac:dyDescent="0.35"/>
    <row r="2999" ht="15.5" x14ac:dyDescent="0.35"/>
    <row r="3000" ht="15.5" x14ac:dyDescent="0.35"/>
    <row r="3001" ht="15.5" x14ac:dyDescent="0.35"/>
    <row r="3002" ht="15.5" x14ac:dyDescent="0.35"/>
    <row r="3003" ht="15.5" x14ac:dyDescent="0.35"/>
    <row r="3004" ht="15.5" x14ac:dyDescent="0.35"/>
    <row r="3005" ht="15.5" x14ac:dyDescent="0.35"/>
    <row r="3006" ht="15.5" x14ac:dyDescent="0.35"/>
    <row r="3007" ht="15.5" x14ac:dyDescent="0.35"/>
    <row r="3008" ht="15.5" x14ac:dyDescent="0.35"/>
    <row r="3009" ht="15.5" x14ac:dyDescent="0.35"/>
    <row r="3010" ht="15.5" x14ac:dyDescent="0.35"/>
    <row r="3011" ht="15.5" x14ac:dyDescent="0.35"/>
    <row r="3012" ht="15.5" x14ac:dyDescent="0.35"/>
    <row r="3013" ht="15.5" x14ac:dyDescent="0.35"/>
    <row r="3014" ht="15.5" x14ac:dyDescent="0.35"/>
    <row r="3015" ht="15.5" x14ac:dyDescent="0.35"/>
    <row r="3016" ht="15.5" x14ac:dyDescent="0.35"/>
    <row r="3017" ht="15.5" x14ac:dyDescent="0.35"/>
    <row r="3018" ht="15.5" x14ac:dyDescent="0.35"/>
    <row r="3019" ht="15.5" x14ac:dyDescent="0.35"/>
    <row r="3020" ht="15.5" x14ac:dyDescent="0.35"/>
    <row r="3021" ht="15.5" x14ac:dyDescent="0.35"/>
    <row r="3022" ht="15.5" x14ac:dyDescent="0.35"/>
    <row r="3023" ht="15.5" x14ac:dyDescent="0.35"/>
    <row r="3024" ht="15.5" x14ac:dyDescent="0.35"/>
    <row r="3025" ht="15.5" x14ac:dyDescent="0.35"/>
    <row r="3026" ht="15.5" x14ac:dyDescent="0.35"/>
    <row r="3027" ht="15.5" x14ac:dyDescent="0.35"/>
    <row r="3028" ht="15.5" x14ac:dyDescent="0.35"/>
    <row r="3029" ht="15.5" x14ac:dyDescent="0.35"/>
    <row r="3030" ht="15.5" x14ac:dyDescent="0.35"/>
    <row r="3031" ht="15.5" x14ac:dyDescent="0.35"/>
    <row r="3032" ht="15.5" x14ac:dyDescent="0.35"/>
    <row r="3033" ht="15.5" x14ac:dyDescent="0.35"/>
    <row r="3034" ht="15.5" x14ac:dyDescent="0.35"/>
    <row r="3035" ht="15.5" x14ac:dyDescent="0.35"/>
    <row r="3036" ht="15.5" x14ac:dyDescent="0.35"/>
    <row r="3037" ht="15.5" x14ac:dyDescent="0.35"/>
    <row r="3038" ht="15.5" x14ac:dyDescent="0.35"/>
    <row r="3039" ht="15.5" x14ac:dyDescent="0.35"/>
    <row r="3040" ht="15.5" x14ac:dyDescent="0.35"/>
    <row r="3041" ht="15.5" x14ac:dyDescent="0.35"/>
    <row r="3042" ht="15.5" x14ac:dyDescent="0.35"/>
    <row r="3043" ht="15.5" x14ac:dyDescent="0.35"/>
    <row r="3044" ht="15.5" x14ac:dyDescent="0.35"/>
    <row r="3045" ht="15.5" x14ac:dyDescent="0.35"/>
    <row r="3046" ht="15.5" x14ac:dyDescent="0.35"/>
    <row r="3047" ht="15.5" x14ac:dyDescent="0.35"/>
    <row r="3048" ht="15.5" x14ac:dyDescent="0.35"/>
    <row r="3049" ht="15.5" x14ac:dyDescent="0.35"/>
    <row r="3050" ht="15.5" x14ac:dyDescent="0.35"/>
    <row r="3051" ht="15.5" x14ac:dyDescent="0.35"/>
    <row r="3052" ht="15.5" x14ac:dyDescent="0.35"/>
    <row r="3053" ht="15.5" x14ac:dyDescent="0.35"/>
    <row r="3054" ht="15.5" x14ac:dyDescent="0.35"/>
    <row r="3055" ht="15.5" x14ac:dyDescent="0.35"/>
    <row r="3056" ht="15.5" x14ac:dyDescent="0.35"/>
    <row r="3057" ht="15.5" x14ac:dyDescent="0.35"/>
    <row r="3058" ht="15.5" x14ac:dyDescent="0.35"/>
    <row r="3059" ht="15.5" x14ac:dyDescent="0.35"/>
    <row r="3060" ht="15.5" x14ac:dyDescent="0.35"/>
    <row r="3061" ht="15.5" x14ac:dyDescent="0.35"/>
    <row r="3062" ht="15.5" x14ac:dyDescent="0.35"/>
    <row r="3063" ht="15.5" x14ac:dyDescent="0.35"/>
    <row r="3064" ht="15.5" x14ac:dyDescent="0.35"/>
    <row r="3065" ht="15.5" x14ac:dyDescent="0.35"/>
    <row r="3066" ht="15.5" x14ac:dyDescent="0.35"/>
    <row r="3067" ht="15.5" x14ac:dyDescent="0.35"/>
    <row r="3068" ht="15.5" x14ac:dyDescent="0.35"/>
    <row r="3069" ht="15.5" x14ac:dyDescent="0.35"/>
    <row r="3070" ht="15.5" x14ac:dyDescent="0.35"/>
    <row r="3071" ht="15.5" x14ac:dyDescent="0.35"/>
    <row r="3072" ht="15.5" x14ac:dyDescent="0.35"/>
    <row r="3073" ht="15.5" x14ac:dyDescent="0.35"/>
    <row r="3074" ht="15.5" x14ac:dyDescent="0.35"/>
    <row r="3075" ht="15.5" x14ac:dyDescent="0.35"/>
    <row r="3076" ht="15.5" x14ac:dyDescent="0.35"/>
    <row r="3077" ht="15.5" x14ac:dyDescent="0.35"/>
    <row r="3078" ht="15.5" x14ac:dyDescent="0.35"/>
    <row r="3079" ht="15.5" x14ac:dyDescent="0.35"/>
    <row r="3080" ht="15.5" x14ac:dyDescent="0.35"/>
    <row r="3081" ht="15.5" x14ac:dyDescent="0.35"/>
    <row r="3082" ht="15.5" x14ac:dyDescent="0.35"/>
    <row r="3083" ht="15.5" x14ac:dyDescent="0.35"/>
    <row r="3084" ht="15.5" x14ac:dyDescent="0.35"/>
    <row r="3085" ht="15.5" x14ac:dyDescent="0.35"/>
    <row r="3086" ht="15.5" x14ac:dyDescent="0.35"/>
    <row r="3087" ht="15.5" x14ac:dyDescent="0.35"/>
    <row r="3088" ht="15.5" x14ac:dyDescent="0.35"/>
    <row r="3089" ht="15.5" x14ac:dyDescent="0.35"/>
    <row r="3090" ht="15.5" x14ac:dyDescent="0.35"/>
    <row r="3091" ht="15.5" x14ac:dyDescent="0.35"/>
    <row r="3092" ht="15.5" x14ac:dyDescent="0.35"/>
    <row r="3093" ht="15.5" x14ac:dyDescent="0.35"/>
    <row r="3094" ht="15.5" x14ac:dyDescent="0.35"/>
    <row r="3095" ht="15.5" x14ac:dyDescent="0.35"/>
    <row r="3096" ht="15.5" x14ac:dyDescent="0.35"/>
    <row r="3097" ht="15.5" x14ac:dyDescent="0.35"/>
    <row r="3098" ht="15.5" x14ac:dyDescent="0.35"/>
    <row r="3099" ht="15.5" x14ac:dyDescent="0.35"/>
    <row r="3100" ht="15.5" x14ac:dyDescent="0.35"/>
    <row r="3101" ht="15.5" x14ac:dyDescent="0.35"/>
    <row r="3102" ht="15.5" x14ac:dyDescent="0.35"/>
    <row r="3103" ht="15.5" x14ac:dyDescent="0.35"/>
    <row r="3104" ht="15.5" x14ac:dyDescent="0.35"/>
    <row r="3105" ht="15.5" x14ac:dyDescent="0.35"/>
    <row r="3106" ht="15.5" x14ac:dyDescent="0.35"/>
    <row r="3107" ht="15.5" x14ac:dyDescent="0.35"/>
    <row r="3108" ht="15.5" x14ac:dyDescent="0.35"/>
    <row r="3109" ht="15.5" x14ac:dyDescent="0.35"/>
    <row r="3110" ht="15.5" x14ac:dyDescent="0.35"/>
    <row r="3111" ht="15.5" x14ac:dyDescent="0.35"/>
    <row r="3112" ht="15.5" x14ac:dyDescent="0.35"/>
    <row r="3113" ht="15.5" x14ac:dyDescent="0.35"/>
    <row r="3114" ht="15.5" x14ac:dyDescent="0.35"/>
    <row r="3115" ht="15.5" x14ac:dyDescent="0.35"/>
    <row r="3116" ht="15.5" x14ac:dyDescent="0.35"/>
    <row r="3117" ht="15.5" x14ac:dyDescent="0.35"/>
    <row r="3118" ht="15.5" x14ac:dyDescent="0.35"/>
    <row r="3119" ht="15.5" x14ac:dyDescent="0.35"/>
    <row r="3120" ht="15.5" x14ac:dyDescent="0.35"/>
    <row r="3121" ht="15.5" x14ac:dyDescent="0.35"/>
    <row r="3122" ht="15.5" x14ac:dyDescent="0.35"/>
    <row r="3123" ht="15.5" x14ac:dyDescent="0.35"/>
    <row r="3124" ht="15.5" x14ac:dyDescent="0.35"/>
    <row r="3125" ht="15.5" x14ac:dyDescent="0.35"/>
    <row r="3126" ht="15.5" x14ac:dyDescent="0.35"/>
    <row r="3127" ht="15.5" x14ac:dyDescent="0.35"/>
    <row r="3128" ht="15.5" x14ac:dyDescent="0.35"/>
    <row r="3129" ht="15.5" x14ac:dyDescent="0.35"/>
    <row r="3130" ht="15.5" x14ac:dyDescent="0.35"/>
    <row r="3131" ht="15.5" x14ac:dyDescent="0.35"/>
    <row r="3132" ht="15.5" x14ac:dyDescent="0.35"/>
    <row r="3133" ht="15.5" x14ac:dyDescent="0.35"/>
    <row r="3134" ht="15.5" x14ac:dyDescent="0.35"/>
    <row r="3135" ht="15.5" x14ac:dyDescent="0.35"/>
    <row r="3136" ht="15.5" x14ac:dyDescent="0.35"/>
    <row r="3137" ht="15.5" x14ac:dyDescent="0.35"/>
    <row r="3138" ht="15.5" x14ac:dyDescent="0.35"/>
    <row r="3139" ht="15.5" x14ac:dyDescent="0.35"/>
    <row r="3140" ht="15.5" x14ac:dyDescent="0.35"/>
    <row r="3141" ht="15.5" x14ac:dyDescent="0.35"/>
    <row r="3142" ht="15.5" x14ac:dyDescent="0.35"/>
    <row r="3143" ht="15.5" x14ac:dyDescent="0.35"/>
    <row r="3144" ht="15.5" x14ac:dyDescent="0.35"/>
    <row r="3145" ht="15.5" x14ac:dyDescent="0.35"/>
    <row r="3146" ht="15.5" x14ac:dyDescent="0.35"/>
    <row r="3147" ht="15.5" x14ac:dyDescent="0.35"/>
    <row r="3148" ht="15.5" x14ac:dyDescent="0.35"/>
    <row r="3149" ht="15.5" x14ac:dyDescent="0.35"/>
    <row r="3150" ht="15.5" x14ac:dyDescent="0.35"/>
    <row r="3151" ht="15.5" x14ac:dyDescent="0.35"/>
    <row r="3152" ht="15.5" x14ac:dyDescent="0.35"/>
    <row r="3153" ht="15.5" x14ac:dyDescent="0.35"/>
    <row r="3154" ht="15.5" x14ac:dyDescent="0.35"/>
    <row r="3155" ht="15.5" x14ac:dyDescent="0.35"/>
    <row r="3156" ht="15.5" x14ac:dyDescent="0.35"/>
    <row r="3157" ht="15.5" x14ac:dyDescent="0.35"/>
    <row r="3158" ht="15.5" x14ac:dyDescent="0.35"/>
    <row r="3159" ht="15.5" x14ac:dyDescent="0.35"/>
    <row r="3160" ht="15.5" x14ac:dyDescent="0.35"/>
    <row r="3161" ht="15.5" x14ac:dyDescent="0.35"/>
    <row r="3162" ht="15.5" x14ac:dyDescent="0.35"/>
    <row r="3163" ht="15.5" x14ac:dyDescent="0.35"/>
    <row r="3164" ht="15.5" x14ac:dyDescent="0.35"/>
    <row r="3165" ht="15.5" x14ac:dyDescent="0.35"/>
    <row r="3166" ht="15.5" x14ac:dyDescent="0.35"/>
    <row r="3167" ht="15.5" x14ac:dyDescent="0.35"/>
    <row r="3168" ht="15.5" x14ac:dyDescent="0.35"/>
    <row r="3169" ht="15.5" x14ac:dyDescent="0.35"/>
    <row r="3170" ht="15.5" x14ac:dyDescent="0.35"/>
    <row r="3171" ht="15.5" x14ac:dyDescent="0.35"/>
    <row r="3172" ht="15.5" x14ac:dyDescent="0.35"/>
    <row r="3173" ht="15.5" x14ac:dyDescent="0.35"/>
    <row r="3174" ht="15.5" x14ac:dyDescent="0.35"/>
    <row r="3175" ht="15.5" x14ac:dyDescent="0.35"/>
    <row r="3176" ht="15.5" x14ac:dyDescent="0.35"/>
    <row r="3177" ht="15.5" x14ac:dyDescent="0.35"/>
    <row r="3178" ht="15.5" x14ac:dyDescent="0.35"/>
    <row r="3179" ht="15.5" x14ac:dyDescent="0.35"/>
    <row r="3180" ht="15.5" x14ac:dyDescent="0.35"/>
    <row r="3181" ht="15.5" x14ac:dyDescent="0.35"/>
    <row r="3182" ht="15.5" x14ac:dyDescent="0.35"/>
    <row r="3183" ht="15.5" x14ac:dyDescent="0.35"/>
    <row r="3184" ht="15.5" x14ac:dyDescent="0.35"/>
    <row r="3185" ht="15.5" x14ac:dyDescent="0.35"/>
    <row r="3186" ht="15.5" x14ac:dyDescent="0.35"/>
    <row r="3187" ht="15.5" x14ac:dyDescent="0.35"/>
    <row r="3188" ht="15.5" x14ac:dyDescent="0.35"/>
    <row r="3189" ht="15.5" x14ac:dyDescent="0.35"/>
    <row r="3190" ht="15.5" x14ac:dyDescent="0.35"/>
    <row r="3191" ht="15.5" x14ac:dyDescent="0.35"/>
    <row r="3192" ht="15.5" x14ac:dyDescent="0.35"/>
    <row r="3193" ht="15.5" x14ac:dyDescent="0.35"/>
    <row r="3194" ht="15.5" x14ac:dyDescent="0.35"/>
    <row r="3195" ht="15.5" x14ac:dyDescent="0.35"/>
    <row r="3196" ht="15.5" x14ac:dyDescent="0.35"/>
    <row r="3197" ht="15.5" x14ac:dyDescent="0.35"/>
    <row r="3198" ht="15.5" x14ac:dyDescent="0.35"/>
    <row r="3199" ht="15.5" x14ac:dyDescent="0.35"/>
    <row r="3200" ht="15.5" x14ac:dyDescent="0.35"/>
    <row r="3201" ht="15.5" x14ac:dyDescent="0.35"/>
    <row r="3202" ht="15.5" x14ac:dyDescent="0.35"/>
    <row r="3203" ht="15.5" x14ac:dyDescent="0.35"/>
    <row r="3204" ht="15.5" x14ac:dyDescent="0.35"/>
    <row r="3205" ht="15.5" x14ac:dyDescent="0.35"/>
    <row r="3206" ht="15.5" x14ac:dyDescent="0.35"/>
    <row r="3207" ht="15.5" x14ac:dyDescent="0.35"/>
    <row r="3208" ht="15.5" x14ac:dyDescent="0.35"/>
    <row r="3209" ht="15.5" x14ac:dyDescent="0.35"/>
    <row r="3210" ht="15.5" x14ac:dyDescent="0.35"/>
    <row r="3211" ht="15.5" x14ac:dyDescent="0.35"/>
    <row r="3212" ht="15.5" x14ac:dyDescent="0.35"/>
    <row r="3213" ht="15.5" x14ac:dyDescent="0.35"/>
    <row r="3214" ht="15.5" x14ac:dyDescent="0.35"/>
    <row r="3215" ht="15.5" x14ac:dyDescent="0.35"/>
    <row r="3216" ht="15.5" x14ac:dyDescent="0.35"/>
    <row r="3217" ht="15.5" x14ac:dyDescent="0.35"/>
    <row r="3218" ht="15.5" x14ac:dyDescent="0.35"/>
    <row r="3219" ht="15.5" x14ac:dyDescent="0.35"/>
    <row r="3220" ht="15.5" x14ac:dyDescent="0.35"/>
    <row r="3221" ht="15.5" x14ac:dyDescent="0.35"/>
    <row r="3222" ht="15.5" x14ac:dyDescent="0.35"/>
    <row r="3223" ht="15.5" x14ac:dyDescent="0.35"/>
    <row r="3224" ht="15.5" x14ac:dyDescent="0.35"/>
    <row r="3225" ht="15.5" x14ac:dyDescent="0.35"/>
    <row r="3226" ht="15.5" x14ac:dyDescent="0.35"/>
    <row r="3227" ht="15.5" x14ac:dyDescent="0.35"/>
    <row r="3228" ht="15.5" x14ac:dyDescent="0.35"/>
    <row r="3229" ht="15.5" x14ac:dyDescent="0.35"/>
    <row r="3230" ht="15.5" x14ac:dyDescent="0.35"/>
    <row r="3231" ht="15.5" x14ac:dyDescent="0.35"/>
    <row r="3232" ht="15.5" x14ac:dyDescent="0.35"/>
    <row r="3233" ht="15.5" x14ac:dyDescent="0.35"/>
    <row r="3234" ht="15.5" x14ac:dyDescent="0.35"/>
    <row r="3235" ht="15.5" x14ac:dyDescent="0.35"/>
    <row r="3236" ht="15.5" x14ac:dyDescent="0.35"/>
    <row r="3237" ht="15.5" x14ac:dyDescent="0.35"/>
    <row r="3238" ht="15.5" x14ac:dyDescent="0.35"/>
    <row r="3239" ht="15.5" x14ac:dyDescent="0.35"/>
    <row r="3240" ht="15.5" x14ac:dyDescent="0.35"/>
    <row r="3241" ht="15.5" x14ac:dyDescent="0.35"/>
    <row r="3242" ht="15.5" x14ac:dyDescent="0.35"/>
    <row r="3243" ht="15.5" x14ac:dyDescent="0.35"/>
    <row r="3244" ht="15.5" x14ac:dyDescent="0.35"/>
    <row r="3245" ht="15.5" x14ac:dyDescent="0.35"/>
    <row r="3246" ht="15.5" x14ac:dyDescent="0.35"/>
    <row r="3247" ht="15.5" x14ac:dyDescent="0.35"/>
    <row r="3248" ht="15.5" x14ac:dyDescent="0.35"/>
    <row r="3249" ht="15.5" x14ac:dyDescent="0.35"/>
    <row r="3250" ht="15.5" x14ac:dyDescent="0.35"/>
    <row r="3251" ht="15.5" x14ac:dyDescent="0.35"/>
    <row r="3252" ht="15.5" x14ac:dyDescent="0.35"/>
    <row r="3253" ht="15.5" x14ac:dyDescent="0.35"/>
    <row r="3254" ht="15.5" x14ac:dyDescent="0.35"/>
    <row r="3255" ht="15.5" x14ac:dyDescent="0.35"/>
    <row r="3256" ht="15.5" x14ac:dyDescent="0.35"/>
    <row r="3257" ht="15.5" x14ac:dyDescent="0.35"/>
    <row r="3258" ht="15.5" x14ac:dyDescent="0.35"/>
    <row r="3259" ht="15.5" x14ac:dyDescent="0.35"/>
    <row r="3260" ht="15.5" x14ac:dyDescent="0.35"/>
    <row r="3261" ht="15.5" x14ac:dyDescent="0.35"/>
    <row r="3262" ht="15.5" x14ac:dyDescent="0.35"/>
    <row r="3263" ht="15.5" x14ac:dyDescent="0.35"/>
    <row r="3264" ht="15.5" x14ac:dyDescent="0.35"/>
    <row r="3265" ht="15.5" x14ac:dyDescent="0.35"/>
    <row r="3266" ht="15.5" x14ac:dyDescent="0.35"/>
    <row r="3267" ht="15.5" x14ac:dyDescent="0.35"/>
    <row r="3268" ht="15.5" x14ac:dyDescent="0.35"/>
    <row r="3269" ht="15.5" x14ac:dyDescent="0.35"/>
    <row r="3270" ht="15.5" x14ac:dyDescent="0.35"/>
    <row r="3271" ht="15.5" x14ac:dyDescent="0.35"/>
    <row r="3272" ht="15.5" x14ac:dyDescent="0.35"/>
    <row r="3273" ht="15.5" x14ac:dyDescent="0.35"/>
    <row r="3274" ht="15.5" x14ac:dyDescent="0.35"/>
    <row r="3275" ht="15.5" x14ac:dyDescent="0.35"/>
    <row r="3276" ht="15.5" x14ac:dyDescent="0.35"/>
    <row r="3277" ht="15.5" x14ac:dyDescent="0.35"/>
    <row r="3278" ht="15.5" x14ac:dyDescent="0.35"/>
    <row r="3279" ht="15.5" x14ac:dyDescent="0.35"/>
    <row r="3280" ht="15.5" x14ac:dyDescent="0.35"/>
    <row r="3281" ht="15.5" x14ac:dyDescent="0.35"/>
    <row r="3282" ht="15.5" x14ac:dyDescent="0.35"/>
    <row r="3283" ht="15.5" x14ac:dyDescent="0.35"/>
    <row r="3284" ht="15.5" x14ac:dyDescent="0.35"/>
    <row r="3285" ht="15.5" x14ac:dyDescent="0.35"/>
    <row r="3286" ht="15.5" x14ac:dyDescent="0.35"/>
    <row r="3287" ht="15.5" x14ac:dyDescent="0.35"/>
    <row r="3288" ht="15.5" x14ac:dyDescent="0.35"/>
    <row r="3289" ht="15.5" x14ac:dyDescent="0.35"/>
    <row r="3290" ht="15.5" x14ac:dyDescent="0.35"/>
    <row r="3291" ht="15.5" x14ac:dyDescent="0.35"/>
    <row r="3292" ht="15.5" x14ac:dyDescent="0.35"/>
    <row r="3293" ht="15.5" x14ac:dyDescent="0.35"/>
    <row r="3294" ht="15.5" x14ac:dyDescent="0.35"/>
    <row r="3295" ht="15.5" x14ac:dyDescent="0.35"/>
    <row r="3296" ht="15.5" x14ac:dyDescent="0.35"/>
    <row r="3297" ht="15.5" x14ac:dyDescent="0.35"/>
    <row r="3298" ht="15.5" x14ac:dyDescent="0.35"/>
    <row r="3299" ht="15.5" x14ac:dyDescent="0.35"/>
    <row r="3300" ht="15.5" x14ac:dyDescent="0.35"/>
    <row r="3301" ht="15.5" x14ac:dyDescent="0.35"/>
    <row r="3302" ht="15.5" x14ac:dyDescent="0.35"/>
    <row r="3303" ht="15.5" x14ac:dyDescent="0.35"/>
    <row r="3304" ht="15.5" x14ac:dyDescent="0.35"/>
    <row r="3305" ht="15.5" x14ac:dyDescent="0.35"/>
    <row r="3306" ht="15.5" x14ac:dyDescent="0.35"/>
    <row r="3307" ht="15.5" x14ac:dyDescent="0.35"/>
    <row r="3308" ht="15.5" x14ac:dyDescent="0.35"/>
    <row r="3309" ht="15.5" x14ac:dyDescent="0.35"/>
    <row r="3310" ht="15.5" x14ac:dyDescent="0.35"/>
    <row r="3311" ht="15.5" x14ac:dyDescent="0.35"/>
    <row r="3312" ht="15.5" x14ac:dyDescent="0.35"/>
    <row r="3313" ht="15.5" x14ac:dyDescent="0.35"/>
    <row r="3314" ht="15.5" x14ac:dyDescent="0.35"/>
    <row r="3315" ht="15.5" x14ac:dyDescent="0.35"/>
    <row r="3316" ht="15.5" x14ac:dyDescent="0.35"/>
    <row r="3317" ht="15.5" x14ac:dyDescent="0.35"/>
    <row r="3318" ht="15.5" x14ac:dyDescent="0.35"/>
    <row r="3319" ht="15.5" x14ac:dyDescent="0.35"/>
    <row r="3320" ht="15.5" x14ac:dyDescent="0.35"/>
    <row r="3321" ht="15.5" x14ac:dyDescent="0.35"/>
    <row r="3322" ht="15.5" x14ac:dyDescent="0.35"/>
    <row r="3323" ht="15.5" x14ac:dyDescent="0.35"/>
    <row r="3324" ht="15.5" x14ac:dyDescent="0.35"/>
    <row r="3325" ht="15.5" x14ac:dyDescent="0.35"/>
    <row r="3326" ht="15.5" x14ac:dyDescent="0.35"/>
    <row r="3327" ht="15.5" x14ac:dyDescent="0.35"/>
    <row r="3328" ht="15.5" x14ac:dyDescent="0.35"/>
    <row r="3329" ht="15.5" x14ac:dyDescent="0.35"/>
    <row r="3330" ht="15.5" x14ac:dyDescent="0.35"/>
    <row r="3331" ht="15.5" x14ac:dyDescent="0.35"/>
    <row r="3332" ht="15.5" x14ac:dyDescent="0.35"/>
    <row r="3333" ht="15.5" x14ac:dyDescent="0.35"/>
    <row r="3334" ht="15.5" x14ac:dyDescent="0.35"/>
    <row r="3335" ht="15.5" x14ac:dyDescent="0.35"/>
    <row r="3336" ht="15.5" x14ac:dyDescent="0.35"/>
    <row r="3337" ht="15.5" x14ac:dyDescent="0.35"/>
    <row r="3338" ht="15.5" x14ac:dyDescent="0.35"/>
    <row r="3339" ht="15.5" x14ac:dyDescent="0.35"/>
    <row r="3340" ht="15.5" x14ac:dyDescent="0.35"/>
    <row r="3341" ht="15.5" x14ac:dyDescent="0.35"/>
    <row r="3342" ht="15.5" x14ac:dyDescent="0.35"/>
    <row r="3343" ht="15.5" x14ac:dyDescent="0.35"/>
    <row r="3344" ht="15.5" x14ac:dyDescent="0.35"/>
    <row r="3345" ht="15.5" x14ac:dyDescent="0.35"/>
    <row r="3346" ht="15.5" x14ac:dyDescent="0.35"/>
    <row r="3347" ht="15.5" x14ac:dyDescent="0.35"/>
    <row r="3348" ht="15.5" x14ac:dyDescent="0.35"/>
    <row r="3349" ht="15.5" x14ac:dyDescent="0.35"/>
    <row r="3350" ht="15.5" x14ac:dyDescent="0.35"/>
    <row r="3351" ht="15.5" x14ac:dyDescent="0.35"/>
    <row r="3352" ht="15.5" x14ac:dyDescent="0.35"/>
    <row r="3353" ht="15.5" x14ac:dyDescent="0.35"/>
    <row r="3354" ht="15.5" x14ac:dyDescent="0.35"/>
    <row r="3355" ht="15.5" x14ac:dyDescent="0.35"/>
    <row r="3356" ht="15.5" x14ac:dyDescent="0.35"/>
    <row r="3357" ht="15.5" x14ac:dyDescent="0.35"/>
    <row r="3358" ht="15.5" x14ac:dyDescent="0.35"/>
    <row r="3359" ht="15.5" x14ac:dyDescent="0.35"/>
    <row r="3360" ht="15.5" x14ac:dyDescent="0.35"/>
    <row r="3361" ht="15.5" x14ac:dyDescent="0.35"/>
    <row r="3362" ht="15.5" x14ac:dyDescent="0.35"/>
    <row r="3363" ht="15.5" x14ac:dyDescent="0.35"/>
    <row r="3364" ht="15.5" x14ac:dyDescent="0.35"/>
    <row r="3365" ht="15.5" x14ac:dyDescent="0.35"/>
    <row r="3366" ht="15.5" x14ac:dyDescent="0.35"/>
    <row r="3367" ht="15.5" x14ac:dyDescent="0.35"/>
    <row r="3368" ht="15.5" x14ac:dyDescent="0.35"/>
    <row r="3369" ht="15.5" x14ac:dyDescent="0.35"/>
    <row r="3370" ht="15.5" x14ac:dyDescent="0.35"/>
    <row r="3371" ht="15.5" x14ac:dyDescent="0.35"/>
    <row r="3372" ht="15.5" x14ac:dyDescent="0.35"/>
    <row r="3373" ht="15.5" x14ac:dyDescent="0.35"/>
    <row r="3374" ht="15.5" x14ac:dyDescent="0.35"/>
    <row r="3375" ht="15.5" x14ac:dyDescent="0.35"/>
    <row r="3376" ht="15.5" x14ac:dyDescent="0.35"/>
    <row r="3377" ht="15.5" x14ac:dyDescent="0.35"/>
    <row r="3378" ht="15.5" x14ac:dyDescent="0.35"/>
    <row r="3379" ht="15.5" x14ac:dyDescent="0.35"/>
    <row r="3380" ht="15.5" x14ac:dyDescent="0.35"/>
    <row r="3381" ht="15.5" x14ac:dyDescent="0.35"/>
    <row r="3382" ht="15.5" x14ac:dyDescent="0.35"/>
    <row r="3383" ht="15.5" x14ac:dyDescent="0.35"/>
    <row r="3384" ht="15.5" x14ac:dyDescent="0.35"/>
    <row r="3385" ht="15.5" x14ac:dyDescent="0.35"/>
    <row r="3386" ht="15.5" x14ac:dyDescent="0.35"/>
    <row r="3387" ht="15.5" x14ac:dyDescent="0.35"/>
    <row r="3388" ht="15.5" x14ac:dyDescent="0.35"/>
    <row r="3389" ht="15.5" x14ac:dyDescent="0.35"/>
    <row r="3390" ht="15.5" x14ac:dyDescent="0.35"/>
    <row r="3391" ht="15.5" x14ac:dyDescent="0.35"/>
    <row r="3392" ht="15.5" x14ac:dyDescent="0.35"/>
    <row r="3393" ht="15.5" x14ac:dyDescent="0.35"/>
    <row r="3394" ht="15.5" x14ac:dyDescent="0.35"/>
    <row r="3395" ht="15.5" x14ac:dyDescent="0.35"/>
    <row r="3396" ht="15.5" x14ac:dyDescent="0.35"/>
    <row r="3397" ht="15.5" x14ac:dyDescent="0.35"/>
    <row r="3398" ht="15.5" x14ac:dyDescent="0.35"/>
    <row r="3399" ht="15.5" x14ac:dyDescent="0.35"/>
    <row r="3400" ht="15.5" x14ac:dyDescent="0.35"/>
    <row r="3401" ht="15.5" x14ac:dyDescent="0.35"/>
    <row r="3402" ht="15.5" x14ac:dyDescent="0.35"/>
    <row r="3403" ht="15.5" x14ac:dyDescent="0.35"/>
    <row r="3404" ht="15.5" x14ac:dyDescent="0.35"/>
    <row r="3405" ht="15.5" x14ac:dyDescent="0.35"/>
    <row r="3406" ht="15.5" x14ac:dyDescent="0.35"/>
    <row r="3407" ht="15.5" x14ac:dyDescent="0.35"/>
    <row r="3408" ht="15.5" x14ac:dyDescent="0.35"/>
    <row r="3409" ht="15.5" x14ac:dyDescent="0.35"/>
    <row r="3410" ht="15.5" x14ac:dyDescent="0.35"/>
    <row r="3411" ht="15.5" x14ac:dyDescent="0.35"/>
    <row r="3412" ht="15.5" x14ac:dyDescent="0.35"/>
    <row r="3413" ht="15.5" x14ac:dyDescent="0.35"/>
    <row r="3414" ht="15.5" x14ac:dyDescent="0.35"/>
    <row r="3415" ht="15.5" x14ac:dyDescent="0.35"/>
    <row r="3416" ht="15.5" x14ac:dyDescent="0.35"/>
    <row r="3417" ht="15.5" x14ac:dyDescent="0.35"/>
    <row r="3418" ht="15.5" x14ac:dyDescent="0.35"/>
    <row r="3419" ht="15.5" x14ac:dyDescent="0.35"/>
    <row r="3420" ht="15.5" x14ac:dyDescent="0.35"/>
    <row r="3421" ht="15.5" x14ac:dyDescent="0.35"/>
    <row r="3422" ht="15.5" x14ac:dyDescent="0.35"/>
    <row r="3423" ht="15.5" x14ac:dyDescent="0.35"/>
    <row r="3424" ht="15.5" x14ac:dyDescent="0.35"/>
    <row r="3425" ht="15.5" x14ac:dyDescent="0.35"/>
    <row r="3426" ht="15.5" x14ac:dyDescent="0.35"/>
    <row r="3427" ht="15.5" x14ac:dyDescent="0.35"/>
    <row r="3428" ht="15.5" x14ac:dyDescent="0.35"/>
    <row r="3429" ht="15.5" x14ac:dyDescent="0.35"/>
    <row r="3430" ht="15.5" x14ac:dyDescent="0.35"/>
    <row r="3431" ht="15.5" x14ac:dyDescent="0.35"/>
    <row r="3432" ht="15.5" x14ac:dyDescent="0.35"/>
    <row r="3433" ht="15.5" x14ac:dyDescent="0.35"/>
    <row r="3434" ht="15.5" x14ac:dyDescent="0.35"/>
    <row r="3435" ht="15.5" x14ac:dyDescent="0.35"/>
    <row r="3436" ht="15.5" x14ac:dyDescent="0.35"/>
    <row r="3437" ht="15.5" x14ac:dyDescent="0.35"/>
    <row r="3438" ht="15.5" x14ac:dyDescent="0.35"/>
    <row r="3439" ht="15.5" x14ac:dyDescent="0.35"/>
    <row r="3440" ht="15.5" x14ac:dyDescent="0.35"/>
    <row r="3441" ht="15.5" x14ac:dyDescent="0.35"/>
    <row r="3442" ht="15.5" x14ac:dyDescent="0.35"/>
    <row r="3443" ht="15.5" x14ac:dyDescent="0.35"/>
    <row r="3444" ht="15.5" x14ac:dyDescent="0.35"/>
    <row r="3445" ht="15.5" x14ac:dyDescent="0.35"/>
    <row r="3446" ht="15.5" x14ac:dyDescent="0.35"/>
    <row r="3447" ht="15.5" x14ac:dyDescent="0.35"/>
    <row r="3448" ht="15.5" x14ac:dyDescent="0.35"/>
    <row r="3449" ht="15.5" x14ac:dyDescent="0.35"/>
    <row r="3450" ht="15.5" x14ac:dyDescent="0.35"/>
    <row r="3451" ht="15.5" x14ac:dyDescent="0.35"/>
    <row r="3452" ht="15.5" x14ac:dyDescent="0.35"/>
    <row r="3453" ht="15.5" x14ac:dyDescent="0.35"/>
    <row r="3454" ht="15.5" x14ac:dyDescent="0.35"/>
    <row r="3455" ht="15.5" x14ac:dyDescent="0.35"/>
    <row r="3456" ht="15.5" x14ac:dyDescent="0.35"/>
    <row r="3457" ht="15.5" x14ac:dyDescent="0.35"/>
    <row r="3458" ht="15.5" x14ac:dyDescent="0.35"/>
    <row r="3459" ht="15.5" x14ac:dyDescent="0.35"/>
    <row r="3460" ht="15.5" x14ac:dyDescent="0.35"/>
    <row r="3461" ht="15.5" x14ac:dyDescent="0.35"/>
    <row r="3462" ht="15.5" x14ac:dyDescent="0.35"/>
    <row r="3463" ht="15.5" x14ac:dyDescent="0.35"/>
    <row r="3464" ht="15.5" x14ac:dyDescent="0.35"/>
    <row r="3465" ht="15.5" x14ac:dyDescent="0.35"/>
    <row r="3466" ht="15.5" x14ac:dyDescent="0.35"/>
    <row r="3467" ht="15.5" x14ac:dyDescent="0.35"/>
    <row r="3468" ht="15.5" x14ac:dyDescent="0.35"/>
    <row r="3469" ht="15.5" x14ac:dyDescent="0.35"/>
    <row r="3470" ht="15.5" x14ac:dyDescent="0.35"/>
    <row r="3471" ht="15.5" x14ac:dyDescent="0.35"/>
    <row r="3472" ht="15.5" x14ac:dyDescent="0.35"/>
    <row r="3473" ht="15.5" x14ac:dyDescent="0.35"/>
    <row r="3474" ht="15.5" x14ac:dyDescent="0.35"/>
    <row r="3475" ht="15.5" x14ac:dyDescent="0.35"/>
    <row r="3476" ht="15.5" x14ac:dyDescent="0.35"/>
    <row r="3477" ht="15.5" x14ac:dyDescent="0.35"/>
    <row r="3478" ht="15.5" x14ac:dyDescent="0.35"/>
    <row r="3479" ht="15.5" x14ac:dyDescent="0.35"/>
    <row r="3480" ht="15.5" x14ac:dyDescent="0.35"/>
    <row r="3481" ht="15.5" x14ac:dyDescent="0.35"/>
    <row r="3482" ht="15.5" x14ac:dyDescent="0.35"/>
    <row r="3483" ht="15.5" x14ac:dyDescent="0.35"/>
    <row r="3484" ht="15.5" x14ac:dyDescent="0.35"/>
    <row r="3485" ht="15.5" x14ac:dyDescent="0.35"/>
    <row r="3486" ht="15.5" x14ac:dyDescent="0.35"/>
    <row r="3487" ht="15.5" x14ac:dyDescent="0.35"/>
    <row r="3488" ht="15.5" x14ac:dyDescent="0.35"/>
    <row r="3489" ht="15.5" x14ac:dyDescent="0.35"/>
    <row r="3490" ht="15.5" x14ac:dyDescent="0.35"/>
    <row r="3491" ht="15.5" x14ac:dyDescent="0.35"/>
    <row r="3492" ht="15.5" x14ac:dyDescent="0.35"/>
    <row r="3493" ht="15.5" x14ac:dyDescent="0.35"/>
    <row r="3494" ht="15.5" x14ac:dyDescent="0.35"/>
    <row r="3495" ht="15.5" x14ac:dyDescent="0.35"/>
  </sheetData>
  <sheetProtection password="944E" sheet="1" objects="1" scenarios="1"/>
  <mergeCells count="103">
    <mergeCell ref="H33:I33"/>
    <mergeCell ref="A9:B9"/>
    <mergeCell ref="I9:J9"/>
    <mergeCell ref="E35:G35"/>
    <mergeCell ref="A43:L43"/>
    <mergeCell ref="A44:A46"/>
    <mergeCell ref="B48:E48"/>
    <mergeCell ref="I48:K48"/>
    <mergeCell ref="E44:H46"/>
    <mergeCell ref="B45:C45"/>
    <mergeCell ref="A40:B40"/>
    <mergeCell ref="C9:D9"/>
    <mergeCell ref="A34:B34"/>
    <mergeCell ref="A12:L12"/>
    <mergeCell ref="A16:L16"/>
    <mergeCell ref="A26:L26"/>
    <mergeCell ref="G28:I29"/>
    <mergeCell ref="B29:C29"/>
    <mergeCell ref="B30:C31"/>
    <mergeCell ref="G31:J31"/>
    <mergeCell ref="A1:C1"/>
    <mergeCell ref="D1:F1"/>
    <mergeCell ref="G1:J1"/>
    <mergeCell ref="G2:J2"/>
    <mergeCell ref="G3:J3"/>
    <mergeCell ref="A3:F3"/>
    <mergeCell ref="A4:L4"/>
    <mergeCell ref="C5:F5"/>
    <mergeCell ref="C7:F7"/>
    <mergeCell ref="H5:I5"/>
    <mergeCell ref="H7:I7"/>
    <mergeCell ref="N1222:P1223"/>
    <mergeCell ref="B164:G164"/>
    <mergeCell ref="B165:G165"/>
    <mergeCell ref="B147:H147"/>
    <mergeCell ref="E99:H99"/>
    <mergeCell ref="E101:H101"/>
    <mergeCell ref="G114:K114"/>
    <mergeCell ref="A117:L117"/>
    <mergeCell ref="F160:G160"/>
    <mergeCell ref="F159:G159"/>
    <mergeCell ref="I159:J160"/>
    <mergeCell ref="B136:C136"/>
    <mergeCell ref="F157:G157"/>
    <mergeCell ref="F158:G158"/>
    <mergeCell ref="A172:K173"/>
    <mergeCell ref="A174:L174"/>
    <mergeCell ref="A175:L175"/>
    <mergeCell ref="B168:G168"/>
    <mergeCell ref="B167:G167"/>
    <mergeCell ref="A176:L176"/>
    <mergeCell ref="A177:L177"/>
    <mergeCell ref="A178:L178"/>
    <mergeCell ref="A184:C184"/>
    <mergeCell ref="AX134:AY134"/>
    <mergeCell ref="A135:C135"/>
    <mergeCell ref="A140:C140"/>
    <mergeCell ref="A49:A51"/>
    <mergeCell ref="B166:G166"/>
    <mergeCell ref="I148:K148"/>
    <mergeCell ref="A152:C152"/>
    <mergeCell ref="A153:C153"/>
    <mergeCell ref="A154:C154"/>
    <mergeCell ref="B161:G161"/>
    <mergeCell ref="A148:C148"/>
    <mergeCell ref="A150:C150"/>
    <mergeCell ref="A151:C151"/>
    <mergeCell ref="I149:K158"/>
    <mergeCell ref="I166:K167"/>
    <mergeCell ref="AX141:AZ141"/>
    <mergeCell ref="B146:H146"/>
    <mergeCell ref="K82:K83"/>
    <mergeCell ref="E83:H83"/>
    <mergeCell ref="E103:H103"/>
    <mergeCell ref="AX126:AZ126"/>
    <mergeCell ref="A133:L133"/>
    <mergeCell ref="AX165:AY165"/>
    <mergeCell ref="P89:AA89"/>
    <mergeCell ref="N73:N80"/>
    <mergeCell ref="P73:P80"/>
    <mergeCell ref="N82:N86"/>
    <mergeCell ref="H49:H51"/>
    <mergeCell ref="O73:O80"/>
    <mergeCell ref="H73:I73"/>
    <mergeCell ref="E76:I76"/>
    <mergeCell ref="A80:L80"/>
    <mergeCell ref="E85:H85"/>
    <mergeCell ref="B50:C50"/>
    <mergeCell ref="I50:J50"/>
    <mergeCell ref="A83:B85"/>
    <mergeCell ref="A87:B87"/>
    <mergeCell ref="A181:L181"/>
    <mergeCell ref="A179:L179"/>
    <mergeCell ref="A180:L180"/>
    <mergeCell ref="E87:H87"/>
    <mergeCell ref="A90:B94"/>
    <mergeCell ref="E90:H90"/>
    <mergeCell ref="E92:H92"/>
    <mergeCell ref="E94:H94"/>
    <mergeCell ref="E97:H97"/>
    <mergeCell ref="B107:C111"/>
    <mergeCell ref="E109:H109"/>
    <mergeCell ref="E137:F137"/>
  </mergeCells>
  <conditionalFormatting sqref="K169 I140">
    <cfRule type="cellIs" dxfId="96" priority="47" stopIfTrue="1" operator="equal">
      <formula>"Yes"</formula>
    </cfRule>
    <cfRule type="cellIs" dxfId="95" priority="48" stopIfTrue="1" operator="equal">
      <formula>"No"</formula>
    </cfRule>
  </conditionalFormatting>
  <conditionalFormatting sqref="AG2 AE1:AU1">
    <cfRule type="cellIs" dxfId="94" priority="49" stopIfTrue="1" operator="equal">
      <formula>"""#N/A"""</formula>
    </cfRule>
  </conditionalFormatting>
  <conditionalFormatting sqref="G140">
    <cfRule type="cellIs" dxfId="93" priority="50" stopIfTrue="1" operator="greaterThan">
      <formula>$K$74</formula>
    </cfRule>
    <cfRule type="cellIs" dxfId="92" priority="51" stopIfTrue="1" operator="lessThanOrEqual">
      <formula>"j38"</formula>
    </cfRule>
  </conditionalFormatting>
  <conditionalFormatting sqref="G144">
    <cfRule type="cellIs" dxfId="91" priority="52" stopIfTrue="1" operator="greaterThan">
      <formula>4</formula>
    </cfRule>
    <cfRule type="cellIs" dxfId="90" priority="53" stopIfTrue="1" operator="between">
      <formula>4</formula>
      <formula>0.000001</formula>
    </cfRule>
    <cfRule type="cellIs" dxfId="89" priority="54" stopIfTrue="1" operator="lessThanOrEqual">
      <formula>0.000001</formula>
    </cfRule>
  </conditionalFormatting>
  <conditionalFormatting sqref="G142">
    <cfRule type="cellIs" dxfId="88" priority="55" stopIfTrue="1" operator="between">
      <formula>$H$121</formula>
      <formula>1</formula>
    </cfRule>
    <cfRule type="cellIs" dxfId="87" priority="56" stopIfTrue="1" operator="greaterThanOrEqual">
      <formula>$H$121</formula>
    </cfRule>
    <cfRule type="cellIs" dxfId="86" priority="57" stopIfTrue="1" operator="lessThan">
      <formula>1</formula>
    </cfRule>
  </conditionalFormatting>
  <conditionalFormatting sqref="I105">
    <cfRule type="cellIs" dxfId="85" priority="46" stopIfTrue="1" operator="lessThan">
      <formula>0</formula>
    </cfRule>
  </conditionalFormatting>
  <conditionalFormatting sqref="I146">
    <cfRule type="cellIs" dxfId="84" priority="45" stopIfTrue="1" operator="greaterThan">
      <formula>0</formula>
    </cfRule>
  </conditionalFormatting>
  <conditionalFormatting sqref="I148:K148">
    <cfRule type="expression" dxfId="83" priority="34">
      <formula>$I$140="No"</formula>
    </cfRule>
  </conditionalFormatting>
  <conditionalFormatting sqref="E148">
    <cfRule type="expression" dxfId="82" priority="38">
      <formula>$I$140="No"</formula>
    </cfRule>
  </conditionalFormatting>
  <conditionalFormatting sqref="G148">
    <cfRule type="expression" dxfId="81" priority="37">
      <formula>$I$140="No"</formula>
    </cfRule>
  </conditionalFormatting>
  <conditionalFormatting sqref="E150">
    <cfRule type="expression" dxfId="80" priority="30">
      <formula>$I$148="Passed MDIR Criteria"</formula>
    </cfRule>
    <cfRule type="expression" dxfId="79" priority="36">
      <formula>$I$140="No"</formula>
    </cfRule>
  </conditionalFormatting>
  <conditionalFormatting sqref="G150">
    <cfRule type="expression" dxfId="78" priority="29">
      <formula>$I$148="Passed MDIR Criteria"</formula>
    </cfRule>
    <cfRule type="expression" dxfId="77" priority="35">
      <formula>$I$140="No"</formula>
    </cfRule>
  </conditionalFormatting>
  <conditionalFormatting sqref="I149:K158">
    <cfRule type="expression" dxfId="76" priority="31">
      <formula>$I$148="Failed MDIR Criteria"</formula>
    </cfRule>
    <cfRule type="expression" dxfId="75" priority="32">
      <formula>$I$148="Fail -  Requires Justification"</formula>
    </cfRule>
    <cfRule type="expression" dxfId="74" priority="33">
      <formula>$I$148="Fail -  Requires Comment"</formula>
    </cfRule>
  </conditionalFormatting>
  <conditionalFormatting sqref="C40">
    <cfRule type="expression" dxfId="73" priority="23">
      <formula>$E$28=0</formula>
    </cfRule>
    <cfRule type="expression" dxfId="72" priority="26">
      <formula>$C$40=0%</formula>
    </cfRule>
    <cfRule type="expression" dxfId="71" priority="27">
      <formula>$C$40&gt;=85%</formula>
    </cfRule>
    <cfRule type="expression" dxfId="70" priority="28">
      <formula>$C$40&lt;85%</formula>
    </cfRule>
  </conditionalFormatting>
  <conditionalFormatting sqref="K40">
    <cfRule type="expression" dxfId="69" priority="24">
      <formula>$K$40&gt;0</formula>
    </cfRule>
    <cfRule type="expression" dxfId="68" priority="25">
      <formula>$K$40=0</formula>
    </cfRule>
  </conditionalFormatting>
  <conditionalFormatting sqref="K34">
    <cfRule type="expression" dxfId="67" priority="20">
      <formula>$H$34=""</formula>
    </cfRule>
    <cfRule type="expression" dxfId="66" priority="22">
      <formula>$H$34="No"</formula>
    </cfRule>
  </conditionalFormatting>
  <conditionalFormatting sqref="I34">
    <cfRule type="expression" dxfId="65" priority="21">
      <formula>$H$34="Yes"</formula>
    </cfRule>
  </conditionalFormatting>
  <conditionalFormatting sqref="E35:G35 E36:F37">
    <cfRule type="expression" dxfId="64" priority="16">
      <formula>$E$34=""</formula>
    </cfRule>
    <cfRule type="expression" dxfId="63" priority="17">
      <formula>$E$34="House"</formula>
    </cfRule>
    <cfRule type="expression" dxfId="62" priority="18">
      <formula>$K$30&gt;75%</formula>
    </cfRule>
  </conditionalFormatting>
  <conditionalFormatting sqref="F136">
    <cfRule type="expression" dxfId="61" priority="15">
      <formula>$E$136&gt;0.01</formula>
    </cfRule>
  </conditionalFormatting>
  <conditionalFormatting sqref="K30">
    <cfRule type="expression" dxfId="60" priority="11">
      <formula>$K$30&gt;90%</formula>
    </cfRule>
    <cfRule type="expression" dxfId="59" priority="12">
      <formula>$P$30&gt;0</formula>
    </cfRule>
  </conditionalFormatting>
  <conditionalFormatting sqref="E136">
    <cfRule type="expression" dxfId="58" priority="10">
      <formula>$E$136&gt;3.5</formula>
    </cfRule>
  </conditionalFormatting>
  <conditionalFormatting sqref="K35">
    <cfRule type="expression" dxfId="57" priority="8">
      <formula>$H$34="No"</formula>
    </cfRule>
    <cfRule type="expression" dxfId="56" priority="9">
      <formula>$H$34=""</formula>
    </cfRule>
  </conditionalFormatting>
  <conditionalFormatting sqref="I35">
    <cfRule type="expression" dxfId="55" priority="6">
      <formula>$H$34="No"</formula>
    </cfRule>
    <cfRule type="expression" dxfId="54" priority="7">
      <formula>$H$34=""</formula>
    </cfRule>
  </conditionalFormatting>
  <conditionalFormatting sqref="K96">
    <cfRule type="expression" dxfId="53" priority="5">
      <formula>$K$94=0</formula>
    </cfRule>
  </conditionalFormatting>
  <conditionalFormatting sqref="I36">
    <cfRule type="expression" dxfId="52" priority="2">
      <formula>$H$34&lt;&gt;"Yes"</formula>
    </cfRule>
  </conditionalFormatting>
  <conditionalFormatting sqref="K36">
    <cfRule type="expression" dxfId="51" priority="1">
      <formula>$H$34&lt;&gt;"Yes"</formula>
    </cfRule>
  </conditionalFormatting>
  <dataValidations count="27">
    <dataValidation type="list" allowBlank="1" showInputMessage="1" showErrorMessage="1" sqref="B5 WVO983064 WLS983064 WBW983064 VSA983064 VIE983064 UYI983064 UOM983064 UEQ983064 TUU983064 TKY983064 TBC983064 SRG983064 SHK983064 RXO983064 RNS983064 RDW983064 QUA983064 QKE983064 QAI983064 PQM983064 PGQ983064 OWU983064 OMY983064 ODC983064 NTG983064 NJK983064 MZO983064 MPS983064 MFW983064 LWA983064 LME983064 LCI983064 KSM983064 KIQ983064 JYU983064 JOY983064 JFC983064 IVG983064 ILK983064 IBO983064 HRS983064 HHW983064 GYA983064 GOE983064 GEI983064 FUM983064 FKQ983064 FAU983064 EQY983064 EHC983064 DXG983064 DNK983064 DDO983064 CTS983064 CJW983064 CAA983064 BQE983064 BGI983064 AWM983064 AMQ983064 ACU983064 SY983064 JC983064 G983064 WVO917528 WLS917528 WBW917528 VSA917528 VIE917528 UYI917528 UOM917528 UEQ917528 TUU917528 TKY917528 TBC917528 SRG917528 SHK917528 RXO917528 RNS917528 RDW917528 QUA917528 QKE917528 QAI917528 PQM917528 PGQ917528 OWU917528 OMY917528 ODC917528 NTG917528 NJK917528 MZO917528 MPS917528 MFW917528 LWA917528 LME917528 LCI917528 KSM917528 KIQ917528 JYU917528 JOY917528 JFC917528 IVG917528 ILK917528 IBO917528 HRS917528 HHW917528 GYA917528 GOE917528 GEI917528 FUM917528 FKQ917528 FAU917528 EQY917528 EHC917528 DXG917528 DNK917528 DDO917528 CTS917528 CJW917528 CAA917528 BQE917528 BGI917528 AWM917528 AMQ917528 ACU917528 SY917528 JC917528 G917528 WVO851992 WLS851992 WBW851992 VSA851992 VIE851992 UYI851992 UOM851992 UEQ851992 TUU851992 TKY851992 TBC851992 SRG851992 SHK851992 RXO851992 RNS851992 RDW851992 QUA851992 QKE851992 QAI851992 PQM851992 PGQ851992 OWU851992 OMY851992 ODC851992 NTG851992 NJK851992 MZO851992 MPS851992 MFW851992 LWA851992 LME851992 LCI851992 KSM851992 KIQ851992 JYU851992 JOY851992 JFC851992 IVG851992 ILK851992 IBO851992 HRS851992 HHW851992 GYA851992 GOE851992 GEI851992 FUM851992 FKQ851992 FAU851992 EQY851992 EHC851992 DXG851992 DNK851992 DDO851992 CTS851992 CJW851992 CAA851992 BQE851992 BGI851992 AWM851992 AMQ851992 ACU851992 SY851992 JC851992 G851992 WVO786456 WLS786456 WBW786456 VSA786456 VIE786456 UYI786456 UOM786456 UEQ786456 TUU786456 TKY786456 TBC786456 SRG786456 SHK786456 RXO786456 RNS786456 RDW786456 QUA786456 QKE786456 QAI786456 PQM786456 PGQ786456 OWU786456 OMY786456 ODC786456 NTG786456 NJK786456 MZO786456 MPS786456 MFW786456 LWA786456 LME786456 LCI786456 KSM786456 KIQ786456 JYU786456 JOY786456 JFC786456 IVG786456 ILK786456 IBO786456 HRS786456 HHW786456 GYA786456 GOE786456 GEI786456 FUM786456 FKQ786456 FAU786456 EQY786456 EHC786456 DXG786456 DNK786456 DDO786456 CTS786456 CJW786456 CAA786456 BQE786456 BGI786456 AWM786456 AMQ786456 ACU786456 SY786456 JC786456 G786456 WVO720920 WLS720920 WBW720920 VSA720920 VIE720920 UYI720920 UOM720920 UEQ720920 TUU720920 TKY720920 TBC720920 SRG720920 SHK720920 RXO720920 RNS720920 RDW720920 QUA720920 QKE720920 QAI720920 PQM720920 PGQ720920 OWU720920 OMY720920 ODC720920 NTG720920 NJK720920 MZO720920 MPS720920 MFW720920 LWA720920 LME720920 LCI720920 KSM720920 KIQ720920 JYU720920 JOY720920 JFC720920 IVG720920 ILK720920 IBO720920 HRS720920 HHW720920 GYA720920 GOE720920 GEI720920 FUM720920 FKQ720920 FAU720920 EQY720920 EHC720920 DXG720920 DNK720920 DDO720920 CTS720920 CJW720920 CAA720920 BQE720920 BGI720920 AWM720920 AMQ720920 ACU720920 SY720920 JC720920 G720920 WVO655384 WLS655384 WBW655384 VSA655384 VIE655384 UYI655384 UOM655384 UEQ655384 TUU655384 TKY655384 TBC655384 SRG655384 SHK655384 RXO655384 RNS655384 RDW655384 QUA655384 QKE655384 QAI655384 PQM655384 PGQ655384 OWU655384 OMY655384 ODC655384 NTG655384 NJK655384 MZO655384 MPS655384 MFW655384 LWA655384 LME655384 LCI655384 KSM655384 KIQ655384 JYU655384 JOY655384 JFC655384 IVG655384 ILK655384 IBO655384 HRS655384 HHW655384 GYA655384 GOE655384 GEI655384 FUM655384 FKQ655384 FAU655384 EQY655384 EHC655384 DXG655384 DNK655384 DDO655384 CTS655384 CJW655384 CAA655384 BQE655384 BGI655384 AWM655384 AMQ655384 ACU655384 SY655384 JC655384 G655384 WVO589848 WLS589848 WBW589848 VSA589848 VIE589848 UYI589848 UOM589848 UEQ589848 TUU589848 TKY589848 TBC589848 SRG589848 SHK589848 RXO589848 RNS589848 RDW589848 QUA589848 QKE589848 QAI589848 PQM589848 PGQ589848 OWU589848 OMY589848 ODC589848 NTG589848 NJK589848 MZO589848 MPS589848 MFW589848 LWA589848 LME589848 LCI589848 KSM589848 KIQ589848 JYU589848 JOY589848 JFC589848 IVG589848 ILK589848 IBO589848 HRS589848 HHW589848 GYA589848 GOE589848 GEI589848 FUM589848 FKQ589848 FAU589848 EQY589848 EHC589848 DXG589848 DNK589848 DDO589848 CTS589848 CJW589848 CAA589848 BQE589848 BGI589848 AWM589848 AMQ589848 ACU589848 SY589848 JC589848 G589848 WVO524312 WLS524312 WBW524312 VSA524312 VIE524312 UYI524312 UOM524312 UEQ524312 TUU524312 TKY524312 TBC524312 SRG524312 SHK524312 RXO524312 RNS524312 RDW524312 QUA524312 QKE524312 QAI524312 PQM524312 PGQ524312 OWU524312 OMY524312 ODC524312 NTG524312 NJK524312 MZO524312 MPS524312 MFW524312 LWA524312 LME524312 LCI524312 KSM524312 KIQ524312 JYU524312 JOY524312 JFC524312 IVG524312 ILK524312 IBO524312 HRS524312 HHW524312 GYA524312 GOE524312 GEI524312 FUM524312 FKQ524312 FAU524312 EQY524312 EHC524312 DXG524312 DNK524312 DDO524312 CTS524312 CJW524312 CAA524312 BQE524312 BGI524312 AWM524312 AMQ524312 ACU524312 SY524312 JC524312 G524312 WVO458776 WLS458776 WBW458776 VSA458776 VIE458776 UYI458776 UOM458776 UEQ458776 TUU458776 TKY458776 TBC458776 SRG458776 SHK458776 RXO458776 RNS458776 RDW458776 QUA458776 QKE458776 QAI458776 PQM458776 PGQ458776 OWU458776 OMY458776 ODC458776 NTG458776 NJK458776 MZO458776 MPS458776 MFW458776 LWA458776 LME458776 LCI458776 KSM458776 KIQ458776 JYU458776 JOY458776 JFC458776 IVG458776 ILK458776 IBO458776 HRS458776 HHW458776 GYA458776 GOE458776 GEI458776 FUM458776 FKQ458776 FAU458776 EQY458776 EHC458776 DXG458776 DNK458776 DDO458776 CTS458776 CJW458776 CAA458776 BQE458776 BGI458776 AWM458776 AMQ458776 ACU458776 SY458776 JC458776 G458776 WVO393240 WLS393240 WBW393240 VSA393240 VIE393240 UYI393240 UOM393240 UEQ393240 TUU393240 TKY393240 TBC393240 SRG393240 SHK393240 RXO393240 RNS393240 RDW393240 QUA393240 QKE393240 QAI393240 PQM393240 PGQ393240 OWU393240 OMY393240 ODC393240 NTG393240 NJK393240 MZO393240 MPS393240 MFW393240 LWA393240 LME393240 LCI393240 KSM393240 KIQ393240 JYU393240 JOY393240 JFC393240 IVG393240 ILK393240 IBO393240 HRS393240 HHW393240 GYA393240 GOE393240 GEI393240 FUM393240 FKQ393240 FAU393240 EQY393240 EHC393240 DXG393240 DNK393240 DDO393240 CTS393240 CJW393240 CAA393240 BQE393240 BGI393240 AWM393240 AMQ393240 ACU393240 SY393240 JC393240 G393240 WVO327704 WLS327704 WBW327704 VSA327704 VIE327704 UYI327704 UOM327704 UEQ327704 TUU327704 TKY327704 TBC327704 SRG327704 SHK327704 RXO327704 RNS327704 RDW327704 QUA327704 QKE327704 QAI327704 PQM327704 PGQ327704 OWU327704 OMY327704 ODC327704 NTG327704 NJK327704 MZO327704 MPS327704 MFW327704 LWA327704 LME327704 LCI327704 KSM327704 KIQ327704 JYU327704 JOY327704 JFC327704 IVG327704 ILK327704 IBO327704 HRS327704 HHW327704 GYA327704 GOE327704 GEI327704 FUM327704 FKQ327704 FAU327704 EQY327704 EHC327704 DXG327704 DNK327704 DDO327704 CTS327704 CJW327704 CAA327704 BQE327704 BGI327704 AWM327704 AMQ327704 ACU327704 SY327704 JC327704 G327704 WVO262168 WLS262168 WBW262168 VSA262168 VIE262168 UYI262168 UOM262168 UEQ262168 TUU262168 TKY262168 TBC262168 SRG262168 SHK262168 RXO262168 RNS262168 RDW262168 QUA262168 QKE262168 QAI262168 PQM262168 PGQ262168 OWU262168 OMY262168 ODC262168 NTG262168 NJK262168 MZO262168 MPS262168 MFW262168 LWA262168 LME262168 LCI262168 KSM262168 KIQ262168 JYU262168 JOY262168 JFC262168 IVG262168 ILK262168 IBO262168 HRS262168 HHW262168 GYA262168 GOE262168 GEI262168 FUM262168 FKQ262168 FAU262168 EQY262168 EHC262168 DXG262168 DNK262168 DDO262168 CTS262168 CJW262168 CAA262168 BQE262168 BGI262168 AWM262168 AMQ262168 ACU262168 SY262168 JC262168 G262168 WVO196632 WLS196632 WBW196632 VSA196632 VIE196632 UYI196632 UOM196632 UEQ196632 TUU196632 TKY196632 TBC196632 SRG196632 SHK196632 RXO196632 RNS196632 RDW196632 QUA196632 QKE196632 QAI196632 PQM196632 PGQ196632 OWU196632 OMY196632 ODC196632 NTG196632 NJK196632 MZO196632 MPS196632 MFW196632 LWA196632 LME196632 LCI196632 KSM196632 KIQ196632 JYU196632 JOY196632 JFC196632 IVG196632 ILK196632 IBO196632 HRS196632 HHW196632 GYA196632 GOE196632 GEI196632 FUM196632 FKQ196632 FAU196632 EQY196632 EHC196632 DXG196632 DNK196632 DDO196632 CTS196632 CJW196632 CAA196632 BQE196632 BGI196632 AWM196632 AMQ196632 ACU196632 SY196632 JC196632 G196632 WVO131096 WLS131096 WBW131096 VSA131096 VIE131096 UYI131096 UOM131096 UEQ131096 TUU131096 TKY131096 TBC131096 SRG131096 SHK131096 RXO131096 RNS131096 RDW131096 QUA131096 QKE131096 QAI131096 PQM131096 PGQ131096 OWU131096 OMY131096 ODC131096 NTG131096 NJK131096 MZO131096 MPS131096 MFW131096 LWA131096 LME131096 LCI131096 KSM131096 KIQ131096 JYU131096 JOY131096 JFC131096 IVG131096 ILK131096 IBO131096 HRS131096 HHW131096 GYA131096 GOE131096 GEI131096 FUM131096 FKQ131096 FAU131096 EQY131096 EHC131096 DXG131096 DNK131096 DDO131096 CTS131096 CJW131096 CAA131096 BQE131096 BGI131096 AWM131096 AMQ131096 ACU131096 SY131096 JC131096 G131096 WVO65560 WLS65560 WBW65560 VSA65560 VIE65560 UYI65560 UOM65560 UEQ65560 TUU65560 TKY65560 TBC65560 SRG65560 SHK65560 RXO65560 RNS65560 RDW65560 QUA65560 QKE65560 QAI65560 PQM65560 PGQ65560 OWU65560 OMY65560 ODC65560 NTG65560 NJK65560 MZO65560 MPS65560 MFW65560 LWA65560 LME65560 LCI65560 KSM65560 KIQ65560 JYU65560 JOY65560 JFC65560 IVG65560 ILK65560 IBO65560 HRS65560 HHW65560 GYA65560 GOE65560 GEI65560 FUM65560 FKQ65560 FAU65560 EQY65560 EHC65560 DXG65560 DNK65560 DDO65560 CTS65560 CJW65560 CAA65560 BQE65560 BGI65560 AWM65560 AMQ65560 ACU65560 SY65560 JC65560 G65560 WVO5 WLS5 WBW5 VSA5 VIE5 UYI5 UOM5 UEQ5 TUU5 TKY5 TBC5 SRG5 SHK5 RXO5 RNS5 RDW5 QUA5 QKE5 QAI5 PQM5 PGQ5 OWU5 OMY5 ODC5 NTG5 NJK5 MZO5 MPS5 MFW5 LWA5 LME5 LCI5 KSM5 KIQ5 JYU5 JOY5 JFC5 IVG5 ILK5 IBO5 HRS5 HHW5 GYA5 GOE5 GEI5 FUM5 FKQ5 FAU5 EQY5 EHC5 DXG5 DNK5 DDO5 CTS5 CJW5 CAA5 BQE5 BGI5 AWM5 AMQ5 ACU5 SY5 JC5 G5 WVK983064 WLO983064 WBS983064 VRW983064 VIA983064 UYE983064 UOI983064 UEM983064 TUQ983064 TKU983064 TAY983064 SRC983064 SHG983064 RXK983064 RNO983064 RDS983064 QTW983064 QKA983064 QAE983064 PQI983064 PGM983064 OWQ983064 OMU983064 OCY983064 NTC983064 NJG983064 MZK983064 MPO983064 MFS983064 LVW983064 LMA983064 LCE983064 KSI983064 KIM983064 JYQ983064 JOU983064 JEY983064 IVC983064 ILG983064 IBK983064 HRO983064 HHS983064 GXW983064 GOA983064 GEE983064 FUI983064 FKM983064 FAQ983064 EQU983064 EGY983064 DXC983064 DNG983064 DDK983064 CTO983064 CJS983064 BZW983064 BQA983064 BGE983064 AWI983064 AMM983064 ACQ983064 SU983064 IY983064 B983064 WVK917528 WLO917528 WBS917528 VRW917528 VIA917528 UYE917528 UOI917528 UEM917528 TUQ917528 TKU917528 TAY917528 SRC917528 SHG917528 RXK917528 RNO917528 RDS917528 QTW917528 QKA917528 QAE917528 PQI917528 PGM917528 OWQ917528 OMU917528 OCY917528 NTC917528 NJG917528 MZK917528 MPO917528 MFS917528 LVW917528 LMA917528 LCE917528 KSI917528 KIM917528 JYQ917528 JOU917528 JEY917528 IVC917528 ILG917528 IBK917528 HRO917528 HHS917528 GXW917528 GOA917528 GEE917528 FUI917528 FKM917528 FAQ917528 EQU917528 EGY917528 DXC917528 DNG917528 DDK917528 CTO917528 CJS917528 BZW917528 BQA917528 BGE917528 AWI917528 AMM917528 ACQ917528 SU917528 IY917528 B917528 WVK851992 WLO851992 WBS851992 VRW851992 VIA851992 UYE851992 UOI851992 UEM851992 TUQ851992 TKU851992 TAY851992 SRC851992 SHG851992 RXK851992 RNO851992 RDS851992 QTW851992 QKA851992 QAE851992 PQI851992 PGM851992 OWQ851992 OMU851992 OCY851992 NTC851992 NJG851992 MZK851992 MPO851992 MFS851992 LVW851992 LMA851992 LCE851992 KSI851992 KIM851992 JYQ851992 JOU851992 JEY851992 IVC851992 ILG851992 IBK851992 HRO851992 HHS851992 GXW851992 GOA851992 GEE851992 FUI851992 FKM851992 FAQ851992 EQU851992 EGY851992 DXC851992 DNG851992 DDK851992 CTO851992 CJS851992 BZW851992 BQA851992 BGE851992 AWI851992 AMM851992 ACQ851992 SU851992 IY851992 B851992 WVK786456 WLO786456 WBS786456 VRW786456 VIA786456 UYE786456 UOI786456 UEM786456 TUQ786456 TKU786456 TAY786456 SRC786456 SHG786456 RXK786456 RNO786456 RDS786456 QTW786456 QKA786456 QAE786456 PQI786456 PGM786456 OWQ786456 OMU786456 OCY786456 NTC786456 NJG786456 MZK786456 MPO786456 MFS786456 LVW786456 LMA786456 LCE786456 KSI786456 KIM786456 JYQ786456 JOU786456 JEY786456 IVC786456 ILG786456 IBK786456 HRO786456 HHS786456 GXW786456 GOA786456 GEE786456 FUI786456 FKM786456 FAQ786456 EQU786456 EGY786456 DXC786456 DNG786456 DDK786456 CTO786456 CJS786456 BZW786456 BQA786456 BGE786456 AWI786456 AMM786456 ACQ786456 SU786456 IY786456 B786456 WVK720920 WLO720920 WBS720920 VRW720920 VIA720920 UYE720920 UOI720920 UEM720920 TUQ720920 TKU720920 TAY720920 SRC720920 SHG720920 RXK720920 RNO720920 RDS720920 QTW720920 QKA720920 QAE720920 PQI720920 PGM720920 OWQ720920 OMU720920 OCY720920 NTC720920 NJG720920 MZK720920 MPO720920 MFS720920 LVW720920 LMA720920 LCE720920 KSI720920 KIM720920 JYQ720920 JOU720920 JEY720920 IVC720920 ILG720920 IBK720920 HRO720920 HHS720920 GXW720920 GOA720920 GEE720920 FUI720920 FKM720920 FAQ720920 EQU720920 EGY720920 DXC720920 DNG720920 DDK720920 CTO720920 CJS720920 BZW720920 BQA720920 BGE720920 AWI720920 AMM720920 ACQ720920 SU720920 IY720920 B720920 WVK655384 WLO655384 WBS655384 VRW655384 VIA655384 UYE655384 UOI655384 UEM655384 TUQ655384 TKU655384 TAY655384 SRC655384 SHG655384 RXK655384 RNO655384 RDS655384 QTW655384 QKA655384 QAE655384 PQI655384 PGM655384 OWQ655384 OMU655384 OCY655384 NTC655384 NJG655384 MZK655384 MPO655384 MFS655384 LVW655384 LMA655384 LCE655384 KSI655384 KIM655384 JYQ655384 JOU655384 JEY655384 IVC655384 ILG655384 IBK655384 HRO655384 HHS655384 GXW655384 GOA655384 GEE655384 FUI655384 FKM655384 FAQ655384 EQU655384 EGY655384 DXC655384 DNG655384 DDK655384 CTO655384 CJS655384 BZW655384 BQA655384 BGE655384 AWI655384 AMM655384 ACQ655384 SU655384 IY655384 B655384 WVK589848 WLO589848 WBS589848 VRW589848 VIA589848 UYE589848 UOI589848 UEM589848 TUQ589848 TKU589848 TAY589848 SRC589848 SHG589848 RXK589848 RNO589848 RDS589848 QTW589848 QKA589848 QAE589848 PQI589848 PGM589848 OWQ589848 OMU589848 OCY589848 NTC589848 NJG589848 MZK589848 MPO589848 MFS589848 LVW589848 LMA589848 LCE589848 KSI589848 KIM589848 JYQ589848 JOU589848 JEY589848 IVC589848 ILG589848 IBK589848 HRO589848 HHS589848 GXW589848 GOA589848 GEE589848 FUI589848 FKM589848 FAQ589848 EQU589848 EGY589848 DXC589848 DNG589848 DDK589848 CTO589848 CJS589848 BZW589848 BQA589848 BGE589848 AWI589848 AMM589848 ACQ589848 SU589848 IY589848 B589848 WVK524312 WLO524312 WBS524312 VRW524312 VIA524312 UYE524312 UOI524312 UEM524312 TUQ524312 TKU524312 TAY524312 SRC524312 SHG524312 RXK524312 RNO524312 RDS524312 QTW524312 QKA524312 QAE524312 PQI524312 PGM524312 OWQ524312 OMU524312 OCY524312 NTC524312 NJG524312 MZK524312 MPO524312 MFS524312 LVW524312 LMA524312 LCE524312 KSI524312 KIM524312 JYQ524312 JOU524312 JEY524312 IVC524312 ILG524312 IBK524312 HRO524312 HHS524312 GXW524312 GOA524312 GEE524312 FUI524312 FKM524312 FAQ524312 EQU524312 EGY524312 DXC524312 DNG524312 DDK524312 CTO524312 CJS524312 BZW524312 BQA524312 BGE524312 AWI524312 AMM524312 ACQ524312 SU524312 IY524312 B524312 WVK458776 WLO458776 WBS458776 VRW458776 VIA458776 UYE458776 UOI458776 UEM458776 TUQ458776 TKU458776 TAY458776 SRC458776 SHG458776 RXK458776 RNO458776 RDS458776 QTW458776 QKA458776 QAE458776 PQI458776 PGM458776 OWQ458776 OMU458776 OCY458776 NTC458776 NJG458776 MZK458776 MPO458776 MFS458776 LVW458776 LMA458776 LCE458776 KSI458776 KIM458776 JYQ458776 JOU458776 JEY458776 IVC458776 ILG458776 IBK458776 HRO458776 HHS458776 GXW458776 GOA458776 GEE458776 FUI458776 FKM458776 FAQ458776 EQU458776 EGY458776 DXC458776 DNG458776 DDK458776 CTO458776 CJS458776 BZW458776 BQA458776 BGE458776 AWI458776 AMM458776 ACQ458776 SU458776 IY458776 B458776 WVK393240 WLO393240 WBS393240 VRW393240 VIA393240 UYE393240 UOI393240 UEM393240 TUQ393240 TKU393240 TAY393240 SRC393240 SHG393240 RXK393240 RNO393240 RDS393240 QTW393240 QKA393240 QAE393240 PQI393240 PGM393240 OWQ393240 OMU393240 OCY393240 NTC393240 NJG393240 MZK393240 MPO393240 MFS393240 LVW393240 LMA393240 LCE393240 KSI393240 KIM393240 JYQ393240 JOU393240 JEY393240 IVC393240 ILG393240 IBK393240 HRO393240 HHS393240 GXW393240 GOA393240 GEE393240 FUI393240 FKM393240 FAQ393240 EQU393240 EGY393240 DXC393240 DNG393240 DDK393240 CTO393240 CJS393240 BZW393240 BQA393240 BGE393240 AWI393240 AMM393240 ACQ393240 SU393240 IY393240 B393240 WVK327704 WLO327704 WBS327704 VRW327704 VIA327704 UYE327704 UOI327704 UEM327704 TUQ327704 TKU327704 TAY327704 SRC327704 SHG327704 RXK327704 RNO327704 RDS327704 QTW327704 QKA327704 QAE327704 PQI327704 PGM327704 OWQ327704 OMU327704 OCY327704 NTC327704 NJG327704 MZK327704 MPO327704 MFS327704 LVW327704 LMA327704 LCE327704 KSI327704 KIM327704 JYQ327704 JOU327704 JEY327704 IVC327704 ILG327704 IBK327704 HRO327704 HHS327704 GXW327704 GOA327704 GEE327704 FUI327704 FKM327704 FAQ327704 EQU327704 EGY327704 DXC327704 DNG327704 DDK327704 CTO327704 CJS327704 BZW327704 BQA327704 BGE327704 AWI327704 AMM327704 ACQ327704 SU327704 IY327704 B327704 WVK262168 WLO262168 WBS262168 VRW262168 VIA262168 UYE262168 UOI262168 UEM262168 TUQ262168 TKU262168 TAY262168 SRC262168 SHG262168 RXK262168 RNO262168 RDS262168 QTW262168 QKA262168 QAE262168 PQI262168 PGM262168 OWQ262168 OMU262168 OCY262168 NTC262168 NJG262168 MZK262168 MPO262168 MFS262168 LVW262168 LMA262168 LCE262168 KSI262168 KIM262168 JYQ262168 JOU262168 JEY262168 IVC262168 ILG262168 IBK262168 HRO262168 HHS262168 GXW262168 GOA262168 GEE262168 FUI262168 FKM262168 FAQ262168 EQU262168 EGY262168 DXC262168 DNG262168 DDK262168 CTO262168 CJS262168 BZW262168 BQA262168 BGE262168 AWI262168 AMM262168 ACQ262168 SU262168 IY262168 B262168 WVK196632 WLO196632 WBS196632 VRW196632 VIA196632 UYE196632 UOI196632 UEM196632 TUQ196632 TKU196632 TAY196632 SRC196632 SHG196632 RXK196632 RNO196632 RDS196632 QTW196632 QKA196632 QAE196632 PQI196632 PGM196632 OWQ196632 OMU196632 OCY196632 NTC196632 NJG196632 MZK196632 MPO196632 MFS196632 LVW196632 LMA196632 LCE196632 KSI196632 KIM196632 JYQ196632 JOU196632 JEY196632 IVC196632 ILG196632 IBK196632 HRO196632 HHS196632 GXW196632 GOA196632 GEE196632 FUI196632 FKM196632 FAQ196632 EQU196632 EGY196632 DXC196632 DNG196632 DDK196632 CTO196632 CJS196632 BZW196632 BQA196632 BGE196632 AWI196632 AMM196632 ACQ196632 SU196632 IY196632 B196632 WVK131096 WLO131096 WBS131096 VRW131096 VIA131096 UYE131096 UOI131096 UEM131096 TUQ131096 TKU131096 TAY131096 SRC131096 SHG131096 RXK131096 RNO131096 RDS131096 QTW131096 QKA131096 QAE131096 PQI131096 PGM131096 OWQ131096 OMU131096 OCY131096 NTC131096 NJG131096 MZK131096 MPO131096 MFS131096 LVW131096 LMA131096 LCE131096 KSI131096 KIM131096 JYQ131096 JOU131096 JEY131096 IVC131096 ILG131096 IBK131096 HRO131096 HHS131096 GXW131096 GOA131096 GEE131096 FUI131096 FKM131096 FAQ131096 EQU131096 EGY131096 DXC131096 DNG131096 DDK131096 CTO131096 CJS131096 BZW131096 BQA131096 BGE131096 AWI131096 AMM131096 ACQ131096 SU131096 IY131096 B131096 WVK65560 WLO65560 WBS65560 VRW65560 VIA65560 UYE65560 UOI65560 UEM65560 TUQ65560 TKU65560 TAY65560 SRC65560 SHG65560 RXK65560 RNO65560 RDS65560 QTW65560 QKA65560 QAE65560 PQI65560 PGM65560 OWQ65560 OMU65560 OCY65560 NTC65560 NJG65560 MZK65560 MPO65560 MFS65560 LVW65560 LMA65560 LCE65560 KSI65560 KIM65560 JYQ65560 JOU65560 JEY65560 IVC65560 ILG65560 IBK65560 HRO65560 HHS65560 GXW65560 GOA65560 GEE65560 FUI65560 FKM65560 FAQ65560 EQU65560 EGY65560 DXC65560 DNG65560 DDK65560 CTO65560 CJS65560 BZW65560 BQA65560 BGE65560 AWI65560 AMM65560 ACQ65560 SU65560 IY65560 B65560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IY5" xr:uid="{00000000-0002-0000-0400-000000000000}">
      <formula1>$N$26:$N$30</formula1>
    </dataValidation>
    <dataValidation allowBlank="1" showInputMessage="1" showErrorMessage="1" prompt="You need to select the appropriate title e.g. Mr / Mrs.!!!" sqref="C5:F5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C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C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C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C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C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C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C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C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C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C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C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C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C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C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C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WVP983064:WVR983064 JD5:JF5 SZ5:TB5 ACV5:ACX5 AMR5:AMT5 AWN5:AWP5 BGJ5:BGL5 BQF5:BQH5 CAB5:CAD5 CJX5:CJZ5 CTT5:CTV5 DDP5:DDR5 DNL5:DNN5 DXH5:DXJ5 EHD5:EHF5 EQZ5:ERB5 FAV5:FAX5 FKR5:FKT5 FUN5:FUP5 GEJ5:GEL5 GOF5:GOH5 GYB5:GYD5 HHX5:HHZ5 HRT5:HRV5 IBP5:IBR5 ILL5:ILN5 IVH5:IVJ5 JFD5:JFF5 JOZ5:JPB5 JYV5:JYX5 KIR5:KIT5 KSN5:KSP5 LCJ5:LCL5 LMF5:LMH5 LWB5:LWD5 MFX5:MFZ5 MPT5:MPV5 MZP5:MZR5 NJL5:NJN5 NTH5:NTJ5 ODD5:ODF5 OMZ5:ONB5 OWV5:OWX5 PGR5:PGT5 PQN5:PQP5 QAJ5:QAL5 QKF5:QKH5 QUB5:QUD5 RDX5:RDZ5 RNT5:RNV5 RXP5:RXR5 SHL5:SHN5 SRH5:SRJ5 TBD5:TBF5 TKZ5:TLB5 TUV5:TUX5 UER5:UET5 UON5:UOP5 UYJ5:UYL5 VIF5:VIH5 VSB5:VSD5 WBX5:WBZ5 WLT5:WLV5 WVP5:WVR5 H65560:J65560 JD65560:JF65560 SZ65560:TB65560 ACV65560:ACX65560 AMR65560:AMT65560 AWN65560:AWP65560 BGJ65560:BGL65560 BQF65560:BQH65560 CAB65560:CAD65560 CJX65560:CJZ65560 CTT65560:CTV65560 DDP65560:DDR65560 DNL65560:DNN65560 DXH65560:DXJ65560 EHD65560:EHF65560 EQZ65560:ERB65560 FAV65560:FAX65560 FKR65560:FKT65560 FUN65560:FUP65560 GEJ65560:GEL65560 GOF65560:GOH65560 GYB65560:GYD65560 HHX65560:HHZ65560 HRT65560:HRV65560 IBP65560:IBR65560 ILL65560:ILN65560 IVH65560:IVJ65560 JFD65560:JFF65560 JOZ65560:JPB65560 JYV65560:JYX65560 KIR65560:KIT65560 KSN65560:KSP65560 LCJ65560:LCL65560 LMF65560:LMH65560 LWB65560:LWD65560 MFX65560:MFZ65560 MPT65560:MPV65560 MZP65560:MZR65560 NJL65560:NJN65560 NTH65560:NTJ65560 ODD65560:ODF65560 OMZ65560:ONB65560 OWV65560:OWX65560 PGR65560:PGT65560 PQN65560:PQP65560 QAJ65560:QAL65560 QKF65560:QKH65560 QUB65560:QUD65560 RDX65560:RDZ65560 RNT65560:RNV65560 RXP65560:RXR65560 SHL65560:SHN65560 SRH65560:SRJ65560 TBD65560:TBF65560 TKZ65560:TLB65560 TUV65560:TUX65560 UER65560:UET65560 UON65560:UOP65560 UYJ65560:UYL65560 VIF65560:VIH65560 VSB65560:VSD65560 WBX65560:WBZ65560 WLT65560:WLV65560 WVP65560:WVR65560 H131096:J131096 JD131096:JF131096 SZ131096:TB131096 ACV131096:ACX131096 AMR131096:AMT131096 AWN131096:AWP131096 BGJ131096:BGL131096 BQF131096:BQH131096 CAB131096:CAD131096 CJX131096:CJZ131096 CTT131096:CTV131096 DDP131096:DDR131096 DNL131096:DNN131096 DXH131096:DXJ131096 EHD131096:EHF131096 EQZ131096:ERB131096 FAV131096:FAX131096 FKR131096:FKT131096 FUN131096:FUP131096 GEJ131096:GEL131096 GOF131096:GOH131096 GYB131096:GYD131096 HHX131096:HHZ131096 HRT131096:HRV131096 IBP131096:IBR131096 ILL131096:ILN131096 IVH131096:IVJ131096 JFD131096:JFF131096 JOZ131096:JPB131096 JYV131096:JYX131096 KIR131096:KIT131096 KSN131096:KSP131096 LCJ131096:LCL131096 LMF131096:LMH131096 LWB131096:LWD131096 MFX131096:MFZ131096 MPT131096:MPV131096 MZP131096:MZR131096 NJL131096:NJN131096 NTH131096:NTJ131096 ODD131096:ODF131096 OMZ131096:ONB131096 OWV131096:OWX131096 PGR131096:PGT131096 PQN131096:PQP131096 QAJ131096:QAL131096 QKF131096:QKH131096 QUB131096:QUD131096 RDX131096:RDZ131096 RNT131096:RNV131096 RXP131096:RXR131096 SHL131096:SHN131096 SRH131096:SRJ131096 TBD131096:TBF131096 TKZ131096:TLB131096 TUV131096:TUX131096 UER131096:UET131096 UON131096:UOP131096 UYJ131096:UYL131096 VIF131096:VIH131096 VSB131096:VSD131096 WBX131096:WBZ131096 WLT131096:WLV131096 WVP131096:WVR131096 H196632:J196632 JD196632:JF196632 SZ196632:TB196632 ACV196632:ACX196632 AMR196632:AMT196632 AWN196632:AWP196632 BGJ196632:BGL196632 BQF196632:BQH196632 CAB196632:CAD196632 CJX196632:CJZ196632 CTT196632:CTV196632 DDP196632:DDR196632 DNL196632:DNN196632 DXH196632:DXJ196632 EHD196632:EHF196632 EQZ196632:ERB196632 FAV196632:FAX196632 FKR196632:FKT196632 FUN196632:FUP196632 GEJ196632:GEL196632 GOF196632:GOH196632 GYB196632:GYD196632 HHX196632:HHZ196632 HRT196632:HRV196632 IBP196632:IBR196632 ILL196632:ILN196632 IVH196632:IVJ196632 JFD196632:JFF196632 JOZ196632:JPB196632 JYV196632:JYX196632 KIR196632:KIT196632 KSN196632:KSP196632 LCJ196632:LCL196632 LMF196632:LMH196632 LWB196632:LWD196632 MFX196632:MFZ196632 MPT196632:MPV196632 MZP196632:MZR196632 NJL196632:NJN196632 NTH196632:NTJ196632 ODD196632:ODF196632 OMZ196632:ONB196632 OWV196632:OWX196632 PGR196632:PGT196632 PQN196632:PQP196632 QAJ196632:QAL196632 QKF196632:QKH196632 QUB196632:QUD196632 RDX196632:RDZ196632 RNT196632:RNV196632 RXP196632:RXR196632 SHL196632:SHN196632 SRH196632:SRJ196632 TBD196632:TBF196632 TKZ196632:TLB196632 TUV196632:TUX196632 UER196632:UET196632 UON196632:UOP196632 UYJ196632:UYL196632 VIF196632:VIH196632 VSB196632:VSD196632 WBX196632:WBZ196632 WLT196632:WLV196632 WVP196632:WVR196632 H262168:J262168 JD262168:JF262168 SZ262168:TB262168 ACV262168:ACX262168 AMR262168:AMT262168 AWN262168:AWP262168 BGJ262168:BGL262168 BQF262168:BQH262168 CAB262168:CAD262168 CJX262168:CJZ262168 CTT262168:CTV262168 DDP262168:DDR262168 DNL262168:DNN262168 DXH262168:DXJ262168 EHD262168:EHF262168 EQZ262168:ERB262168 FAV262168:FAX262168 FKR262168:FKT262168 FUN262168:FUP262168 GEJ262168:GEL262168 GOF262168:GOH262168 GYB262168:GYD262168 HHX262168:HHZ262168 HRT262168:HRV262168 IBP262168:IBR262168 ILL262168:ILN262168 IVH262168:IVJ262168 JFD262168:JFF262168 JOZ262168:JPB262168 JYV262168:JYX262168 KIR262168:KIT262168 KSN262168:KSP262168 LCJ262168:LCL262168 LMF262168:LMH262168 LWB262168:LWD262168 MFX262168:MFZ262168 MPT262168:MPV262168 MZP262168:MZR262168 NJL262168:NJN262168 NTH262168:NTJ262168 ODD262168:ODF262168 OMZ262168:ONB262168 OWV262168:OWX262168 PGR262168:PGT262168 PQN262168:PQP262168 QAJ262168:QAL262168 QKF262168:QKH262168 QUB262168:QUD262168 RDX262168:RDZ262168 RNT262168:RNV262168 RXP262168:RXR262168 SHL262168:SHN262168 SRH262168:SRJ262168 TBD262168:TBF262168 TKZ262168:TLB262168 TUV262168:TUX262168 UER262168:UET262168 UON262168:UOP262168 UYJ262168:UYL262168 VIF262168:VIH262168 VSB262168:VSD262168 WBX262168:WBZ262168 WLT262168:WLV262168 WVP262168:WVR262168 H327704:J327704 JD327704:JF327704 SZ327704:TB327704 ACV327704:ACX327704 AMR327704:AMT327704 AWN327704:AWP327704 BGJ327704:BGL327704 BQF327704:BQH327704 CAB327704:CAD327704 CJX327704:CJZ327704 CTT327704:CTV327704 DDP327704:DDR327704 DNL327704:DNN327704 DXH327704:DXJ327704 EHD327704:EHF327704 EQZ327704:ERB327704 FAV327704:FAX327704 FKR327704:FKT327704 FUN327704:FUP327704 GEJ327704:GEL327704 GOF327704:GOH327704 GYB327704:GYD327704 HHX327704:HHZ327704 HRT327704:HRV327704 IBP327704:IBR327704 ILL327704:ILN327704 IVH327704:IVJ327704 JFD327704:JFF327704 JOZ327704:JPB327704 JYV327704:JYX327704 KIR327704:KIT327704 KSN327704:KSP327704 LCJ327704:LCL327704 LMF327704:LMH327704 LWB327704:LWD327704 MFX327704:MFZ327704 MPT327704:MPV327704 MZP327704:MZR327704 NJL327704:NJN327704 NTH327704:NTJ327704 ODD327704:ODF327704 OMZ327704:ONB327704 OWV327704:OWX327704 PGR327704:PGT327704 PQN327704:PQP327704 QAJ327704:QAL327704 QKF327704:QKH327704 QUB327704:QUD327704 RDX327704:RDZ327704 RNT327704:RNV327704 RXP327704:RXR327704 SHL327704:SHN327704 SRH327704:SRJ327704 TBD327704:TBF327704 TKZ327704:TLB327704 TUV327704:TUX327704 UER327704:UET327704 UON327704:UOP327704 UYJ327704:UYL327704 VIF327704:VIH327704 VSB327704:VSD327704 WBX327704:WBZ327704 WLT327704:WLV327704 WVP327704:WVR327704 H393240:J393240 JD393240:JF393240 SZ393240:TB393240 ACV393240:ACX393240 AMR393240:AMT393240 AWN393240:AWP393240 BGJ393240:BGL393240 BQF393240:BQH393240 CAB393240:CAD393240 CJX393240:CJZ393240 CTT393240:CTV393240 DDP393240:DDR393240 DNL393240:DNN393240 DXH393240:DXJ393240 EHD393240:EHF393240 EQZ393240:ERB393240 FAV393240:FAX393240 FKR393240:FKT393240 FUN393240:FUP393240 GEJ393240:GEL393240 GOF393240:GOH393240 GYB393240:GYD393240 HHX393240:HHZ393240 HRT393240:HRV393240 IBP393240:IBR393240 ILL393240:ILN393240 IVH393240:IVJ393240 JFD393240:JFF393240 JOZ393240:JPB393240 JYV393240:JYX393240 KIR393240:KIT393240 KSN393240:KSP393240 LCJ393240:LCL393240 LMF393240:LMH393240 LWB393240:LWD393240 MFX393240:MFZ393240 MPT393240:MPV393240 MZP393240:MZR393240 NJL393240:NJN393240 NTH393240:NTJ393240 ODD393240:ODF393240 OMZ393240:ONB393240 OWV393240:OWX393240 PGR393240:PGT393240 PQN393240:PQP393240 QAJ393240:QAL393240 QKF393240:QKH393240 QUB393240:QUD393240 RDX393240:RDZ393240 RNT393240:RNV393240 RXP393240:RXR393240 SHL393240:SHN393240 SRH393240:SRJ393240 TBD393240:TBF393240 TKZ393240:TLB393240 TUV393240:TUX393240 UER393240:UET393240 UON393240:UOP393240 UYJ393240:UYL393240 VIF393240:VIH393240 VSB393240:VSD393240 WBX393240:WBZ393240 WLT393240:WLV393240 WVP393240:WVR393240 H458776:J458776 JD458776:JF458776 SZ458776:TB458776 ACV458776:ACX458776 AMR458776:AMT458776 AWN458776:AWP458776 BGJ458776:BGL458776 BQF458776:BQH458776 CAB458776:CAD458776 CJX458776:CJZ458776 CTT458776:CTV458776 DDP458776:DDR458776 DNL458776:DNN458776 DXH458776:DXJ458776 EHD458776:EHF458776 EQZ458776:ERB458776 FAV458776:FAX458776 FKR458776:FKT458776 FUN458776:FUP458776 GEJ458776:GEL458776 GOF458776:GOH458776 GYB458776:GYD458776 HHX458776:HHZ458776 HRT458776:HRV458776 IBP458776:IBR458776 ILL458776:ILN458776 IVH458776:IVJ458776 JFD458776:JFF458776 JOZ458776:JPB458776 JYV458776:JYX458776 KIR458776:KIT458776 KSN458776:KSP458776 LCJ458776:LCL458776 LMF458776:LMH458776 LWB458776:LWD458776 MFX458776:MFZ458776 MPT458776:MPV458776 MZP458776:MZR458776 NJL458776:NJN458776 NTH458776:NTJ458776 ODD458776:ODF458776 OMZ458776:ONB458776 OWV458776:OWX458776 PGR458776:PGT458776 PQN458776:PQP458776 QAJ458776:QAL458776 QKF458776:QKH458776 QUB458776:QUD458776 RDX458776:RDZ458776 RNT458776:RNV458776 RXP458776:RXR458776 SHL458776:SHN458776 SRH458776:SRJ458776 TBD458776:TBF458776 TKZ458776:TLB458776 TUV458776:TUX458776 UER458776:UET458776 UON458776:UOP458776 UYJ458776:UYL458776 VIF458776:VIH458776 VSB458776:VSD458776 WBX458776:WBZ458776 WLT458776:WLV458776 WVP458776:WVR458776 H524312:J524312 JD524312:JF524312 SZ524312:TB524312 ACV524312:ACX524312 AMR524312:AMT524312 AWN524312:AWP524312 BGJ524312:BGL524312 BQF524312:BQH524312 CAB524312:CAD524312 CJX524312:CJZ524312 CTT524312:CTV524312 DDP524312:DDR524312 DNL524312:DNN524312 DXH524312:DXJ524312 EHD524312:EHF524312 EQZ524312:ERB524312 FAV524312:FAX524312 FKR524312:FKT524312 FUN524312:FUP524312 GEJ524312:GEL524312 GOF524312:GOH524312 GYB524312:GYD524312 HHX524312:HHZ524312 HRT524312:HRV524312 IBP524312:IBR524312 ILL524312:ILN524312 IVH524312:IVJ524312 JFD524312:JFF524312 JOZ524312:JPB524312 JYV524312:JYX524312 KIR524312:KIT524312 KSN524312:KSP524312 LCJ524312:LCL524312 LMF524312:LMH524312 LWB524312:LWD524312 MFX524312:MFZ524312 MPT524312:MPV524312 MZP524312:MZR524312 NJL524312:NJN524312 NTH524312:NTJ524312 ODD524312:ODF524312 OMZ524312:ONB524312 OWV524312:OWX524312 PGR524312:PGT524312 PQN524312:PQP524312 QAJ524312:QAL524312 QKF524312:QKH524312 QUB524312:QUD524312 RDX524312:RDZ524312 RNT524312:RNV524312 RXP524312:RXR524312 SHL524312:SHN524312 SRH524312:SRJ524312 TBD524312:TBF524312 TKZ524312:TLB524312 TUV524312:TUX524312 UER524312:UET524312 UON524312:UOP524312 UYJ524312:UYL524312 VIF524312:VIH524312 VSB524312:VSD524312 WBX524312:WBZ524312 WLT524312:WLV524312 WVP524312:WVR524312 H589848:J589848 JD589848:JF589848 SZ589848:TB589848 ACV589848:ACX589848 AMR589848:AMT589848 AWN589848:AWP589848 BGJ589848:BGL589848 BQF589848:BQH589848 CAB589848:CAD589848 CJX589848:CJZ589848 CTT589848:CTV589848 DDP589848:DDR589848 DNL589848:DNN589848 DXH589848:DXJ589848 EHD589848:EHF589848 EQZ589848:ERB589848 FAV589848:FAX589848 FKR589848:FKT589848 FUN589848:FUP589848 GEJ589848:GEL589848 GOF589848:GOH589848 GYB589848:GYD589848 HHX589848:HHZ589848 HRT589848:HRV589848 IBP589848:IBR589848 ILL589848:ILN589848 IVH589848:IVJ589848 JFD589848:JFF589848 JOZ589848:JPB589848 JYV589848:JYX589848 KIR589848:KIT589848 KSN589848:KSP589848 LCJ589848:LCL589848 LMF589848:LMH589848 LWB589848:LWD589848 MFX589848:MFZ589848 MPT589848:MPV589848 MZP589848:MZR589848 NJL589848:NJN589848 NTH589848:NTJ589848 ODD589848:ODF589848 OMZ589848:ONB589848 OWV589848:OWX589848 PGR589848:PGT589848 PQN589848:PQP589848 QAJ589848:QAL589848 QKF589848:QKH589848 QUB589848:QUD589848 RDX589848:RDZ589848 RNT589848:RNV589848 RXP589848:RXR589848 SHL589848:SHN589848 SRH589848:SRJ589848 TBD589848:TBF589848 TKZ589848:TLB589848 TUV589848:TUX589848 UER589848:UET589848 UON589848:UOP589848 UYJ589848:UYL589848 VIF589848:VIH589848 VSB589848:VSD589848 WBX589848:WBZ589848 WLT589848:WLV589848 WVP589848:WVR589848 H655384:J655384 JD655384:JF655384 SZ655384:TB655384 ACV655384:ACX655384 AMR655384:AMT655384 AWN655384:AWP655384 BGJ655384:BGL655384 BQF655384:BQH655384 CAB655384:CAD655384 CJX655384:CJZ655384 CTT655384:CTV655384 DDP655384:DDR655384 DNL655384:DNN655384 DXH655384:DXJ655384 EHD655384:EHF655384 EQZ655384:ERB655384 FAV655384:FAX655384 FKR655384:FKT655384 FUN655384:FUP655384 GEJ655384:GEL655384 GOF655384:GOH655384 GYB655384:GYD655384 HHX655384:HHZ655384 HRT655384:HRV655384 IBP655384:IBR655384 ILL655384:ILN655384 IVH655384:IVJ655384 JFD655384:JFF655384 JOZ655384:JPB655384 JYV655384:JYX655384 KIR655384:KIT655384 KSN655384:KSP655384 LCJ655384:LCL655384 LMF655384:LMH655384 LWB655384:LWD655384 MFX655384:MFZ655384 MPT655384:MPV655384 MZP655384:MZR655384 NJL655384:NJN655384 NTH655384:NTJ655384 ODD655384:ODF655384 OMZ655384:ONB655384 OWV655384:OWX655384 PGR655384:PGT655384 PQN655384:PQP655384 QAJ655384:QAL655384 QKF655384:QKH655384 QUB655384:QUD655384 RDX655384:RDZ655384 RNT655384:RNV655384 RXP655384:RXR655384 SHL655384:SHN655384 SRH655384:SRJ655384 TBD655384:TBF655384 TKZ655384:TLB655384 TUV655384:TUX655384 UER655384:UET655384 UON655384:UOP655384 UYJ655384:UYL655384 VIF655384:VIH655384 VSB655384:VSD655384 WBX655384:WBZ655384 WLT655384:WLV655384 WVP655384:WVR655384 H720920:J720920 JD720920:JF720920 SZ720920:TB720920 ACV720920:ACX720920 AMR720920:AMT720920 AWN720920:AWP720920 BGJ720920:BGL720920 BQF720920:BQH720920 CAB720920:CAD720920 CJX720920:CJZ720920 CTT720920:CTV720920 DDP720920:DDR720920 DNL720920:DNN720920 DXH720920:DXJ720920 EHD720920:EHF720920 EQZ720920:ERB720920 FAV720920:FAX720920 FKR720920:FKT720920 FUN720920:FUP720920 GEJ720920:GEL720920 GOF720920:GOH720920 GYB720920:GYD720920 HHX720920:HHZ720920 HRT720920:HRV720920 IBP720920:IBR720920 ILL720920:ILN720920 IVH720920:IVJ720920 JFD720920:JFF720920 JOZ720920:JPB720920 JYV720920:JYX720920 KIR720920:KIT720920 KSN720920:KSP720920 LCJ720920:LCL720920 LMF720920:LMH720920 LWB720920:LWD720920 MFX720920:MFZ720920 MPT720920:MPV720920 MZP720920:MZR720920 NJL720920:NJN720920 NTH720920:NTJ720920 ODD720920:ODF720920 OMZ720920:ONB720920 OWV720920:OWX720920 PGR720920:PGT720920 PQN720920:PQP720920 QAJ720920:QAL720920 QKF720920:QKH720920 QUB720920:QUD720920 RDX720920:RDZ720920 RNT720920:RNV720920 RXP720920:RXR720920 SHL720920:SHN720920 SRH720920:SRJ720920 TBD720920:TBF720920 TKZ720920:TLB720920 TUV720920:TUX720920 UER720920:UET720920 UON720920:UOP720920 UYJ720920:UYL720920 VIF720920:VIH720920 VSB720920:VSD720920 WBX720920:WBZ720920 WLT720920:WLV720920 WVP720920:WVR720920 H786456:J786456 JD786456:JF786456 SZ786456:TB786456 ACV786456:ACX786456 AMR786456:AMT786456 AWN786456:AWP786456 BGJ786456:BGL786456 BQF786456:BQH786456 CAB786456:CAD786456 CJX786456:CJZ786456 CTT786456:CTV786456 DDP786456:DDR786456 DNL786456:DNN786456 DXH786456:DXJ786456 EHD786456:EHF786456 EQZ786456:ERB786456 FAV786456:FAX786456 FKR786456:FKT786456 FUN786456:FUP786456 GEJ786456:GEL786456 GOF786456:GOH786456 GYB786456:GYD786456 HHX786456:HHZ786456 HRT786456:HRV786456 IBP786456:IBR786456 ILL786456:ILN786456 IVH786456:IVJ786456 JFD786456:JFF786456 JOZ786456:JPB786456 JYV786456:JYX786456 KIR786456:KIT786456 KSN786456:KSP786456 LCJ786456:LCL786456 LMF786456:LMH786456 LWB786456:LWD786456 MFX786456:MFZ786456 MPT786456:MPV786456 MZP786456:MZR786456 NJL786456:NJN786456 NTH786456:NTJ786456 ODD786456:ODF786456 OMZ786456:ONB786456 OWV786456:OWX786456 PGR786456:PGT786456 PQN786456:PQP786456 QAJ786456:QAL786456 QKF786456:QKH786456 QUB786456:QUD786456 RDX786456:RDZ786456 RNT786456:RNV786456 RXP786456:RXR786456 SHL786456:SHN786456 SRH786456:SRJ786456 TBD786456:TBF786456 TKZ786456:TLB786456 TUV786456:TUX786456 UER786456:UET786456 UON786456:UOP786456 UYJ786456:UYL786456 VIF786456:VIH786456 VSB786456:VSD786456 WBX786456:WBZ786456 WLT786456:WLV786456 WVP786456:WVR786456 H851992:J851992 JD851992:JF851992 SZ851992:TB851992 ACV851992:ACX851992 AMR851992:AMT851992 AWN851992:AWP851992 BGJ851992:BGL851992 BQF851992:BQH851992 CAB851992:CAD851992 CJX851992:CJZ851992 CTT851992:CTV851992 DDP851992:DDR851992 DNL851992:DNN851992 DXH851992:DXJ851992 EHD851992:EHF851992 EQZ851992:ERB851992 FAV851992:FAX851992 FKR851992:FKT851992 FUN851992:FUP851992 GEJ851992:GEL851992 GOF851992:GOH851992 GYB851992:GYD851992 HHX851992:HHZ851992 HRT851992:HRV851992 IBP851992:IBR851992 ILL851992:ILN851992 IVH851992:IVJ851992 JFD851992:JFF851992 JOZ851992:JPB851992 JYV851992:JYX851992 KIR851992:KIT851992 KSN851992:KSP851992 LCJ851992:LCL851992 LMF851992:LMH851992 LWB851992:LWD851992 MFX851992:MFZ851992 MPT851992:MPV851992 MZP851992:MZR851992 NJL851992:NJN851992 NTH851992:NTJ851992 ODD851992:ODF851992 OMZ851992:ONB851992 OWV851992:OWX851992 PGR851992:PGT851992 PQN851992:PQP851992 QAJ851992:QAL851992 QKF851992:QKH851992 QUB851992:QUD851992 RDX851992:RDZ851992 RNT851992:RNV851992 RXP851992:RXR851992 SHL851992:SHN851992 SRH851992:SRJ851992 TBD851992:TBF851992 TKZ851992:TLB851992 TUV851992:TUX851992 UER851992:UET851992 UON851992:UOP851992 UYJ851992:UYL851992 VIF851992:VIH851992 VSB851992:VSD851992 WBX851992:WBZ851992 WLT851992:WLV851992 WVP851992:WVR851992 H917528:J917528 JD917528:JF917528 SZ917528:TB917528 ACV917528:ACX917528 AMR917528:AMT917528 AWN917528:AWP917528 BGJ917528:BGL917528 BQF917528:BQH917528 CAB917528:CAD917528 CJX917528:CJZ917528 CTT917528:CTV917528 DDP917528:DDR917528 DNL917528:DNN917528 DXH917528:DXJ917528 EHD917528:EHF917528 EQZ917528:ERB917528 FAV917528:FAX917528 FKR917528:FKT917528 FUN917528:FUP917528 GEJ917528:GEL917528 GOF917528:GOH917528 GYB917528:GYD917528 HHX917528:HHZ917528 HRT917528:HRV917528 IBP917528:IBR917528 ILL917528:ILN917528 IVH917528:IVJ917528 JFD917528:JFF917528 JOZ917528:JPB917528 JYV917528:JYX917528 KIR917528:KIT917528 KSN917528:KSP917528 LCJ917528:LCL917528 LMF917528:LMH917528 LWB917528:LWD917528 MFX917528:MFZ917528 MPT917528:MPV917528 MZP917528:MZR917528 NJL917528:NJN917528 NTH917528:NTJ917528 ODD917528:ODF917528 OMZ917528:ONB917528 OWV917528:OWX917528 PGR917528:PGT917528 PQN917528:PQP917528 QAJ917528:QAL917528 QKF917528:QKH917528 QUB917528:QUD917528 RDX917528:RDZ917528 RNT917528:RNV917528 RXP917528:RXR917528 SHL917528:SHN917528 SRH917528:SRJ917528 TBD917528:TBF917528 TKZ917528:TLB917528 TUV917528:TUX917528 UER917528:UET917528 UON917528:UOP917528 UYJ917528:UYL917528 VIF917528:VIH917528 VSB917528:VSD917528 WBX917528:WBZ917528 WLT917528:WLV917528 WVP917528:WVR917528 H983064:J983064 JD983064:JF983064 SZ983064:TB983064 ACV983064:ACX983064 AMR983064:AMT983064 AWN983064:AWP983064 BGJ983064:BGL983064 BQF983064:BQH983064 CAB983064:CAD983064 CJX983064:CJZ983064 CTT983064:CTV983064 DDP983064:DDR983064 DNL983064:DNN983064 DXH983064:DXJ983064 EHD983064:EHF983064 EQZ983064:ERB983064 FAV983064:FAX983064 FKR983064:FKT983064 FUN983064:FUP983064 GEJ983064:GEL983064 GOF983064:GOH983064 GYB983064:GYD983064 HHX983064:HHZ983064 HRT983064:HRV983064 IBP983064:IBR983064 ILL983064:ILN983064 IVH983064:IVJ983064 JFD983064:JFF983064 JOZ983064:JPB983064 JYV983064:JYX983064 KIR983064:KIT983064 KSN983064:KSP983064 LCJ983064:LCL983064 LMF983064:LMH983064 LWB983064:LWD983064 MFX983064:MFZ983064 MPT983064:MPV983064 MZP983064:MZR983064 NJL983064:NJN983064 NTH983064:NTJ983064 ODD983064:ODF983064 OMZ983064:ONB983064 OWV983064:OWX983064 PGR983064:PGT983064 PQN983064:PQP983064 QAJ983064:QAL983064 QKF983064:QKH983064 QUB983064:QUD983064 RDX983064:RDZ983064 RNT983064:RNV983064 RXP983064:RXR983064 SHL983064:SHN983064 SRH983064:SRJ983064 TBD983064:TBF983064 TKZ983064:TLB983064 TUV983064:TUX983064 UER983064:UET983064 UON983064:UOP983064 UYJ983064:UYL983064 VIF983064:VIH983064 VSB983064:VSD983064 WBX983064:WBZ983064 WLT983064:WLV983064 H5 J5" xr:uid="{00000000-0002-0000-0400-000001000000}"/>
    <dataValidation type="whole" errorStyle="warning" operator="greaterThanOrEqual" allowBlank="1" showInputMessage="1" showErrorMessage="1" error="We cannot lend to a person under 18 years of age!!!!" sqref="WVP983066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C65562: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C131098: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C196634: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C262170: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C327706: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C393242: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C458778: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C524314: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C589850: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655386: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720922: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C786458: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C851994: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C917530: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C983066: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C7:D8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H7:H8" xr:uid="{00000000-0002-0000-0400-000002000000}">
      <formula1>18</formula1>
    </dataValidation>
    <dataValidation type="list" allowBlank="1" showInputMessage="1" showErrorMessage="1" sqref="H17:H18 WVP983074:WVP983075 WLT983074:WLT983075 WBX983074:WBX983075 VSB983074:VSB983075 VIF983074:VIF983075 UYJ983074:UYJ983075 UON983074:UON983075 UER983074:UER983075 TUV983074:TUV983075 TKZ983074:TKZ983075 TBD983074:TBD983075 SRH983074:SRH983075 SHL983074:SHL983075 RXP983074:RXP983075 RNT983074:RNT983075 RDX983074:RDX983075 QUB983074:QUB983075 QKF983074:QKF983075 QAJ983074:QAJ983075 PQN983074:PQN983075 PGR983074:PGR983075 OWV983074:OWV983075 OMZ983074:OMZ983075 ODD983074:ODD983075 NTH983074:NTH983075 NJL983074:NJL983075 MZP983074:MZP983075 MPT983074:MPT983075 MFX983074:MFX983075 LWB983074:LWB983075 LMF983074:LMF983075 LCJ983074:LCJ983075 KSN983074:KSN983075 KIR983074:KIR983075 JYV983074:JYV983075 JOZ983074:JOZ983075 JFD983074:JFD983075 IVH983074:IVH983075 ILL983074:ILL983075 IBP983074:IBP983075 HRT983074:HRT983075 HHX983074:HHX983075 GYB983074:GYB983075 GOF983074:GOF983075 GEJ983074:GEJ983075 FUN983074:FUN983075 FKR983074:FKR983075 FAV983074:FAV983075 EQZ983074:EQZ983075 EHD983074:EHD983075 DXH983074:DXH983075 DNL983074:DNL983075 DDP983074:DDP983075 CTT983074:CTT983075 CJX983074:CJX983075 CAB983074:CAB983075 BQF983074:BQF983075 BGJ983074:BGJ983075 AWN983074:AWN983075 AMR983074:AMR983075 ACV983074:ACV983075 SZ983074:SZ983075 JD983074:JD983075 H983074:H983075 WVP917538:WVP917539 WLT917538:WLT917539 WBX917538:WBX917539 VSB917538:VSB917539 VIF917538:VIF917539 UYJ917538:UYJ917539 UON917538:UON917539 UER917538:UER917539 TUV917538:TUV917539 TKZ917538:TKZ917539 TBD917538:TBD917539 SRH917538:SRH917539 SHL917538:SHL917539 RXP917538:RXP917539 RNT917538:RNT917539 RDX917538:RDX917539 QUB917538:QUB917539 QKF917538:QKF917539 QAJ917538:QAJ917539 PQN917538:PQN917539 PGR917538:PGR917539 OWV917538:OWV917539 OMZ917538:OMZ917539 ODD917538:ODD917539 NTH917538:NTH917539 NJL917538:NJL917539 MZP917538:MZP917539 MPT917538:MPT917539 MFX917538:MFX917539 LWB917538:LWB917539 LMF917538:LMF917539 LCJ917538:LCJ917539 KSN917538:KSN917539 KIR917538:KIR917539 JYV917538:JYV917539 JOZ917538:JOZ917539 JFD917538:JFD917539 IVH917538:IVH917539 ILL917538:ILL917539 IBP917538:IBP917539 HRT917538:HRT917539 HHX917538:HHX917539 GYB917538:GYB917539 GOF917538:GOF917539 GEJ917538:GEJ917539 FUN917538:FUN917539 FKR917538:FKR917539 FAV917538:FAV917539 EQZ917538:EQZ917539 EHD917538:EHD917539 DXH917538:DXH917539 DNL917538:DNL917539 DDP917538:DDP917539 CTT917538:CTT917539 CJX917538:CJX917539 CAB917538:CAB917539 BQF917538:BQF917539 BGJ917538:BGJ917539 AWN917538:AWN917539 AMR917538:AMR917539 ACV917538:ACV917539 SZ917538:SZ917539 JD917538:JD917539 H917538:H917539 WVP852002:WVP852003 WLT852002:WLT852003 WBX852002:WBX852003 VSB852002:VSB852003 VIF852002:VIF852003 UYJ852002:UYJ852003 UON852002:UON852003 UER852002:UER852003 TUV852002:TUV852003 TKZ852002:TKZ852003 TBD852002:TBD852003 SRH852002:SRH852003 SHL852002:SHL852003 RXP852002:RXP852003 RNT852002:RNT852003 RDX852002:RDX852003 QUB852002:QUB852003 QKF852002:QKF852003 QAJ852002:QAJ852003 PQN852002:PQN852003 PGR852002:PGR852003 OWV852002:OWV852003 OMZ852002:OMZ852003 ODD852002:ODD852003 NTH852002:NTH852003 NJL852002:NJL852003 MZP852002:MZP852003 MPT852002:MPT852003 MFX852002:MFX852003 LWB852002:LWB852003 LMF852002:LMF852003 LCJ852002:LCJ852003 KSN852002:KSN852003 KIR852002:KIR852003 JYV852002:JYV852003 JOZ852002:JOZ852003 JFD852002:JFD852003 IVH852002:IVH852003 ILL852002:ILL852003 IBP852002:IBP852003 HRT852002:HRT852003 HHX852002:HHX852003 GYB852002:GYB852003 GOF852002:GOF852003 GEJ852002:GEJ852003 FUN852002:FUN852003 FKR852002:FKR852003 FAV852002:FAV852003 EQZ852002:EQZ852003 EHD852002:EHD852003 DXH852002:DXH852003 DNL852002:DNL852003 DDP852002:DDP852003 CTT852002:CTT852003 CJX852002:CJX852003 CAB852002:CAB852003 BQF852002:BQF852003 BGJ852002:BGJ852003 AWN852002:AWN852003 AMR852002:AMR852003 ACV852002:ACV852003 SZ852002:SZ852003 JD852002:JD852003 H852002:H852003 WVP786466:WVP786467 WLT786466:WLT786467 WBX786466:WBX786467 VSB786466:VSB786467 VIF786466:VIF786467 UYJ786466:UYJ786467 UON786466:UON786467 UER786466:UER786467 TUV786466:TUV786467 TKZ786466:TKZ786467 TBD786466:TBD786467 SRH786466:SRH786467 SHL786466:SHL786467 RXP786466:RXP786467 RNT786466:RNT786467 RDX786466:RDX786467 QUB786466:QUB786467 QKF786466:QKF786467 QAJ786466:QAJ786467 PQN786466:PQN786467 PGR786466:PGR786467 OWV786466:OWV786467 OMZ786466:OMZ786467 ODD786466:ODD786467 NTH786466:NTH786467 NJL786466:NJL786467 MZP786466:MZP786467 MPT786466:MPT786467 MFX786466:MFX786467 LWB786466:LWB786467 LMF786466:LMF786467 LCJ786466:LCJ786467 KSN786466:KSN786467 KIR786466:KIR786467 JYV786466:JYV786467 JOZ786466:JOZ786467 JFD786466:JFD786467 IVH786466:IVH786467 ILL786466:ILL786467 IBP786466:IBP786467 HRT786466:HRT786467 HHX786466:HHX786467 GYB786466:GYB786467 GOF786466:GOF786467 GEJ786466:GEJ786467 FUN786466:FUN786467 FKR786466:FKR786467 FAV786466:FAV786467 EQZ786466:EQZ786467 EHD786466:EHD786467 DXH786466:DXH786467 DNL786466:DNL786467 DDP786466:DDP786467 CTT786466:CTT786467 CJX786466:CJX786467 CAB786466:CAB786467 BQF786466:BQF786467 BGJ786466:BGJ786467 AWN786466:AWN786467 AMR786466:AMR786467 ACV786466:ACV786467 SZ786466:SZ786467 JD786466:JD786467 H786466:H786467 WVP720930:WVP720931 WLT720930:WLT720931 WBX720930:WBX720931 VSB720930:VSB720931 VIF720930:VIF720931 UYJ720930:UYJ720931 UON720930:UON720931 UER720930:UER720931 TUV720930:TUV720931 TKZ720930:TKZ720931 TBD720930:TBD720931 SRH720930:SRH720931 SHL720930:SHL720931 RXP720930:RXP720931 RNT720930:RNT720931 RDX720930:RDX720931 QUB720930:QUB720931 QKF720930:QKF720931 QAJ720930:QAJ720931 PQN720930:PQN720931 PGR720930:PGR720931 OWV720930:OWV720931 OMZ720930:OMZ720931 ODD720930:ODD720931 NTH720930:NTH720931 NJL720930:NJL720931 MZP720930:MZP720931 MPT720930:MPT720931 MFX720930:MFX720931 LWB720930:LWB720931 LMF720930:LMF720931 LCJ720930:LCJ720931 KSN720930:KSN720931 KIR720930:KIR720931 JYV720930:JYV720931 JOZ720930:JOZ720931 JFD720930:JFD720931 IVH720930:IVH720931 ILL720930:ILL720931 IBP720930:IBP720931 HRT720930:HRT720931 HHX720930:HHX720931 GYB720930:GYB720931 GOF720930:GOF720931 GEJ720930:GEJ720931 FUN720930:FUN720931 FKR720930:FKR720931 FAV720930:FAV720931 EQZ720930:EQZ720931 EHD720930:EHD720931 DXH720930:DXH720931 DNL720930:DNL720931 DDP720930:DDP720931 CTT720930:CTT720931 CJX720930:CJX720931 CAB720930:CAB720931 BQF720930:BQF720931 BGJ720930:BGJ720931 AWN720930:AWN720931 AMR720930:AMR720931 ACV720930:ACV720931 SZ720930:SZ720931 JD720930:JD720931 H720930:H720931 WVP655394:WVP655395 WLT655394:WLT655395 WBX655394:WBX655395 VSB655394:VSB655395 VIF655394:VIF655395 UYJ655394:UYJ655395 UON655394:UON655395 UER655394:UER655395 TUV655394:TUV655395 TKZ655394:TKZ655395 TBD655394:TBD655395 SRH655394:SRH655395 SHL655394:SHL655395 RXP655394:RXP655395 RNT655394:RNT655395 RDX655394:RDX655395 QUB655394:QUB655395 QKF655394:QKF655395 QAJ655394:QAJ655395 PQN655394:PQN655395 PGR655394:PGR655395 OWV655394:OWV655395 OMZ655394:OMZ655395 ODD655394:ODD655395 NTH655394:NTH655395 NJL655394:NJL655395 MZP655394:MZP655395 MPT655394:MPT655395 MFX655394:MFX655395 LWB655394:LWB655395 LMF655394:LMF655395 LCJ655394:LCJ655395 KSN655394:KSN655395 KIR655394:KIR655395 JYV655394:JYV655395 JOZ655394:JOZ655395 JFD655394:JFD655395 IVH655394:IVH655395 ILL655394:ILL655395 IBP655394:IBP655395 HRT655394:HRT655395 HHX655394:HHX655395 GYB655394:GYB655395 GOF655394:GOF655395 GEJ655394:GEJ655395 FUN655394:FUN655395 FKR655394:FKR655395 FAV655394:FAV655395 EQZ655394:EQZ655395 EHD655394:EHD655395 DXH655394:DXH655395 DNL655394:DNL655395 DDP655394:DDP655395 CTT655394:CTT655395 CJX655394:CJX655395 CAB655394:CAB655395 BQF655394:BQF655395 BGJ655394:BGJ655395 AWN655394:AWN655395 AMR655394:AMR655395 ACV655394:ACV655395 SZ655394:SZ655395 JD655394:JD655395 H655394:H655395 WVP589858:WVP589859 WLT589858:WLT589859 WBX589858:WBX589859 VSB589858:VSB589859 VIF589858:VIF589859 UYJ589858:UYJ589859 UON589858:UON589859 UER589858:UER589859 TUV589858:TUV589859 TKZ589858:TKZ589859 TBD589858:TBD589859 SRH589858:SRH589859 SHL589858:SHL589859 RXP589858:RXP589859 RNT589858:RNT589859 RDX589858:RDX589859 QUB589858:QUB589859 QKF589858:QKF589859 QAJ589858:QAJ589859 PQN589858:PQN589859 PGR589858:PGR589859 OWV589858:OWV589859 OMZ589858:OMZ589859 ODD589858:ODD589859 NTH589858:NTH589859 NJL589858:NJL589859 MZP589858:MZP589859 MPT589858:MPT589859 MFX589858:MFX589859 LWB589858:LWB589859 LMF589858:LMF589859 LCJ589858:LCJ589859 KSN589858:KSN589859 KIR589858:KIR589859 JYV589858:JYV589859 JOZ589858:JOZ589859 JFD589858:JFD589859 IVH589858:IVH589859 ILL589858:ILL589859 IBP589858:IBP589859 HRT589858:HRT589859 HHX589858:HHX589859 GYB589858:GYB589859 GOF589858:GOF589859 GEJ589858:GEJ589859 FUN589858:FUN589859 FKR589858:FKR589859 FAV589858:FAV589859 EQZ589858:EQZ589859 EHD589858:EHD589859 DXH589858:DXH589859 DNL589858:DNL589859 DDP589858:DDP589859 CTT589858:CTT589859 CJX589858:CJX589859 CAB589858:CAB589859 BQF589858:BQF589859 BGJ589858:BGJ589859 AWN589858:AWN589859 AMR589858:AMR589859 ACV589858:ACV589859 SZ589858:SZ589859 JD589858:JD589859 H589858:H589859 WVP524322:WVP524323 WLT524322:WLT524323 WBX524322:WBX524323 VSB524322:VSB524323 VIF524322:VIF524323 UYJ524322:UYJ524323 UON524322:UON524323 UER524322:UER524323 TUV524322:TUV524323 TKZ524322:TKZ524323 TBD524322:TBD524323 SRH524322:SRH524323 SHL524322:SHL524323 RXP524322:RXP524323 RNT524322:RNT524323 RDX524322:RDX524323 QUB524322:QUB524323 QKF524322:QKF524323 QAJ524322:QAJ524323 PQN524322:PQN524323 PGR524322:PGR524323 OWV524322:OWV524323 OMZ524322:OMZ524323 ODD524322:ODD524323 NTH524322:NTH524323 NJL524322:NJL524323 MZP524322:MZP524323 MPT524322:MPT524323 MFX524322:MFX524323 LWB524322:LWB524323 LMF524322:LMF524323 LCJ524322:LCJ524323 KSN524322:KSN524323 KIR524322:KIR524323 JYV524322:JYV524323 JOZ524322:JOZ524323 JFD524322:JFD524323 IVH524322:IVH524323 ILL524322:ILL524323 IBP524322:IBP524323 HRT524322:HRT524323 HHX524322:HHX524323 GYB524322:GYB524323 GOF524322:GOF524323 GEJ524322:GEJ524323 FUN524322:FUN524323 FKR524322:FKR524323 FAV524322:FAV524323 EQZ524322:EQZ524323 EHD524322:EHD524323 DXH524322:DXH524323 DNL524322:DNL524323 DDP524322:DDP524323 CTT524322:CTT524323 CJX524322:CJX524323 CAB524322:CAB524323 BQF524322:BQF524323 BGJ524322:BGJ524323 AWN524322:AWN524323 AMR524322:AMR524323 ACV524322:ACV524323 SZ524322:SZ524323 JD524322:JD524323 H524322:H524323 WVP458786:WVP458787 WLT458786:WLT458787 WBX458786:WBX458787 VSB458786:VSB458787 VIF458786:VIF458787 UYJ458786:UYJ458787 UON458786:UON458787 UER458786:UER458787 TUV458786:TUV458787 TKZ458786:TKZ458787 TBD458786:TBD458787 SRH458786:SRH458787 SHL458786:SHL458787 RXP458786:RXP458787 RNT458786:RNT458787 RDX458786:RDX458787 QUB458786:QUB458787 QKF458786:QKF458787 QAJ458786:QAJ458787 PQN458786:PQN458787 PGR458786:PGR458787 OWV458786:OWV458787 OMZ458786:OMZ458787 ODD458786:ODD458787 NTH458786:NTH458787 NJL458786:NJL458787 MZP458786:MZP458787 MPT458786:MPT458787 MFX458786:MFX458787 LWB458786:LWB458787 LMF458786:LMF458787 LCJ458786:LCJ458787 KSN458786:KSN458787 KIR458786:KIR458787 JYV458786:JYV458787 JOZ458786:JOZ458787 JFD458786:JFD458787 IVH458786:IVH458787 ILL458786:ILL458787 IBP458786:IBP458787 HRT458786:HRT458787 HHX458786:HHX458787 GYB458786:GYB458787 GOF458786:GOF458787 GEJ458786:GEJ458787 FUN458786:FUN458787 FKR458786:FKR458787 FAV458786:FAV458787 EQZ458786:EQZ458787 EHD458786:EHD458787 DXH458786:DXH458787 DNL458786:DNL458787 DDP458786:DDP458787 CTT458786:CTT458787 CJX458786:CJX458787 CAB458786:CAB458787 BQF458786:BQF458787 BGJ458786:BGJ458787 AWN458786:AWN458787 AMR458786:AMR458787 ACV458786:ACV458787 SZ458786:SZ458787 JD458786:JD458787 H458786:H458787 WVP393250:WVP393251 WLT393250:WLT393251 WBX393250:WBX393251 VSB393250:VSB393251 VIF393250:VIF393251 UYJ393250:UYJ393251 UON393250:UON393251 UER393250:UER393251 TUV393250:TUV393251 TKZ393250:TKZ393251 TBD393250:TBD393251 SRH393250:SRH393251 SHL393250:SHL393251 RXP393250:RXP393251 RNT393250:RNT393251 RDX393250:RDX393251 QUB393250:QUB393251 QKF393250:QKF393251 QAJ393250:QAJ393251 PQN393250:PQN393251 PGR393250:PGR393251 OWV393250:OWV393251 OMZ393250:OMZ393251 ODD393250:ODD393251 NTH393250:NTH393251 NJL393250:NJL393251 MZP393250:MZP393251 MPT393250:MPT393251 MFX393250:MFX393251 LWB393250:LWB393251 LMF393250:LMF393251 LCJ393250:LCJ393251 KSN393250:KSN393251 KIR393250:KIR393251 JYV393250:JYV393251 JOZ393250:JOZ393251 JFD393250:JFD393251 IVH393250:IVH393251 ILL393250:ILL393251 IBP393250:IBP393251 HRT393250:HRT393251 HHX393250:HHX393251 GYB393250:GYB393251 GOF393250:GOF393251 GEJ393250:GEJ393251 FUN393250:FUN393251 FKR393250:FKR393251 FAV393250:FAV393251 EQZ393250:EQZ393251 EHD393250:EHD393251 DXH393250:DXH393251 DNL393250:DNL393251 DDP393250:DDP393251 CTT393250:CTT393251 CJX393250:CJX393251 CAB393250:CAB393251 BQF393250:BQF393251 BGJ393250:BGJ393251 AWN393250:AWN393251 AMR393250:AMR393251 ACV393250:ACV393251 SZ393250:SZ393251 JD393250:JD393251 H393250:H393251 WVP327714:WVP327715 WLT327714:WLT327715 WBX327714:WBX327715 VSB327714:VSB327715 VIF327714:VIF327715 UYJ327714:UYJ327715 UON327714:UON327715 UER327714:UER327715 TUV327714:TUV327715 TKZ327714:TKZ327715 TBD327714:TBD327715 SRH327714:SRH327715 SHL327714:SHL327715 RXP327714:RXP327715 RNT327714:RNT327715 RDX327714:RDX327715 QUB327714:QUB327715 QKF327714:QKF327715 QAJ327714:QAJ327715 PQN327714:PQN327715 PGR327714:PGR327715 OWV327714:OWV327715 OMZ327714:OMZ327715 ODD327714:ODD327715 NTH327714:NTH327715 NJL327714:NJL327715 MZP327714:MZP327715 MPT327714:MPT327715 MFX327714:MFX327715 LWB327714:LWB327715 LMF327714:LMF327715 LCJ327714:LCJ327715 KSN327714:KSN327715 KIR327714:KIR327715 JYV327714:JYV327715 JOZ327714:JOZ327715 JFD327714:JFD327715 IVH327714:IVH327715 ILL327714:ILL327715 IBP327714:IBP327715 HRT327714:HRT327715 HHX327714:HHX327715 GYB327714:GYB327715 GOF327714:GOF327715 GEJ327714:GEJ327715 FUN327714:FUN327715 FKR327714:FKR327715 FAV327714:FAV327715 EQZ327714:EQZ327715 EHD327714:EHD327715 DXH327714:DXH327715 DNL327714:DNL327715 DDP327714:DDP327715 CTT327714:CTT327715 CJX327714:CJX327715 CAB327714:CAB327715 BQF327714:BQF327715 BGJ327714:BGJ327715 AWN327714:AWN327715 AMR327714:AMR327715 ACV327714:ACV327715 SZ327714:SZ327715 JD327714:JD327715 H327714:H327715 WVP262178:WVP262179 WLT262178:WLT262179 WBX262178:WBX262179 VSB262178:VSB262179 VIF262178:VIF262179 UYJ262178:UYJ262179 UON262178:UON262179 UER262178:UER262179 TUV262178:TUV262179 TKZ262178:TKZ262179 TBD262178:TBD262179 SRH262178:SRH262179 SHL262178:SHL262179 RXP262178:RXP262179 RNT262178:RNT262179 RDX262178:RDX262179 QUB262178:QUB262179 QKF262178:QKF262179 QAJ262178:QAJ262179 PQN262178:PQN262179 PGR262178:PGR262179 OWV262178:OWV262179 OMZ262178:OMZ262179 ODD262178:ODD262179 NTH262178:NTH262179 NJL262178:NJL262179 MZP262178:MZP262179 MPT262178:MPT262179 MFX262178:MFX262179 LWB262178:LWB262179 LMF262178:LMF262179 LCJ262178:LCJ262179 KSN262178:KSN262179 KIR262178:KIR262179 JYV262178:JYV262179 JOZ262178:JOZ262179 JFD262178:JFD262179 IVH262178:IVH262179 ILL262178:ILL262179 IBP262178:IBP262179 HRT262178:HRT262179 HHX262178:HHX262179 GYB262178:GYB262179 GOF262178:GOF262179 GEJ262178:GEJ262179 FUN262178:FUN262179 FKR262178:FKR262179 FAV262178:FAV262179 EQZ262178:EQZ262179 EHD262178:EHD262179 DXH262178:DXH262179 DNL262178:DNL262179 DDP262178:DDP262179 CTT262178:CTT262179 CJX262178:CJX262179 CAB262178:CAB262179 BQF262178:BQF262179 BGJ262178:BGJ262179 AWN262178:AWN262179 AMR262178:AMR262179 ACV262178:ACV262179 SZ262178:SZ262179 JD262178:JD262179 H262178:H262179 WVP196642:WVP196643 WLT196642:WLT196643 WBX196642:WBX196643 VSB196642:VSB196643 VIF196642:VIF196643 UYJ196642:UYJ196643 UON196642:UON196643 UER196642:UER196643 TUV196642:TUV196643 TKZ196642:TKZ196643 TBD196642:TBD196643 SRH196642:SRH196643 SHL196642:SHL196643 RXP196642:RXP196643 RNT196642:RNT196643 RDX196642:RDX196643 QUB196642:QUB196643 QKF196642:QKF196643 QAJ196642:QAJ196643 PQN196642:PQN196643 PGR196642:PGR196643 OWV196642:OWV196643 OMZ196642:OMZ196643 ODD196642:ODD196643 NTH196642:NTH196643 NJL196642:NJL196643 MZP196642:MZP196643 MPT196642:MPT196643 MFX196642:MFX196643 LWB196642:LWB196643 LMF196642:LMF196643 LCJ196642:LCJ196643 KSN196642:KSN196643 KIR196642:KIR196643 JYV196642:JYV196643 JOZ196642:JOZ196643 JFD196642:JFD196643 IVH196642:IVH196643 ILL196642:ILL196643 IBP196642:IBP196643 HRT196642:HRT196643 HHX196642:HHX196643 GYB196642:GYB196643 GOF196642:GOF196643 GEJ196642:GEJ196643 FUN196642:FUN196643 FKR196642:FKR196643 FAV196642:FAV196643 EQZ196642:EQZ196643 EHD196642:EHD196643 DXH196642:DXH196643 DNL196642:DNL196643 DDP196642:DDP196643 CTT196642:CTT196643 CJX196642:CJX196643 CAB196642:CAB196643 BQF196642:BQF196643 BGJ196642:BGJ196643 AWN196642:AWN196643 AMR196642:AMR196643 ACV196642:ACV196643 SZ196642:SZ196643 JD196642:JD196643 H196642:H196643 WVP131106:WVP131107 WLT131106:WLT131107 WBX131106:WBX131107 VSB131106:VSB131107 VIF131106:VIF131107 UYJ131106:UYJ131107 UON131106:UON131107 UER131106:UER131107 TUV131106:TUV131107 TKZ131106:TKZ131107 TBD131106:TBD131107 SRH131106:SRH131107 SHL131106:SHL131107 RXP131106:RXP131107 RNT131106:RNT131107 RDX131106:RDX131107 QUB131106:QUB131107 QKF131106:QKF131107 QAJ131106:QAJ131107 PQN131106:PQN131107 PGR131106:PGR131107 OWV131106:OWV131107 OMZ131106:OMZ131107 ODD131106:ODD131107 NTH131106:NTH131107 NJL131106:NJL131107 MZP131106:MZP131107 MPT131106:MPT131107 MFX131106:MFX131107 LWB131106:LWB131107 LMF131106:LMF131107 LCJ131106:LCJ131107 KSN131106:KSN131107 KIR131106:KIR131107 JYV131106:JYV131107 JOZ131106:JOZ131107 JFD131106:JFD131107 IVH131106:IVH131107 ILL131106:ILL131107 IBP131106:IBP131107 HRT131106:HRT131107 HHX131106:HHX131107 GYB131106:GYB131107 GOF131106:GOF131107 GEJ131106:GEJ131107 FUN131106:FUN131107 FKR131106:FKR131107 FAV131106:FAV131107 EQZ131106:EQZ131107 EHD131106:EHD131107 DXH131106:DXH131107 DNL131106:DNL131107 DDP131106:DDP131107 CTT131106:CTT131107 CJX131106:CJX131107 CAB131106:CAB131107 BQF131106:BQF131107 BGJ131106:BGJ131107 AWN131106:AWN131107 AMR131106:AMR131107 ACV131106:ACV131107 SZ131106:SZ131107 JD131106:JD131107 H131106:H131107 WVP65570:WVP65571 WLT65570:WLT65571 WBX65570:WBX65571 VSB65570:VSB65571 VIF65570:VIF65571 UYJ65570:UYJ65571 UON65570:UON65571 UER65570:UER65571 TUV65570:TUV65571 TKZ65570:TKZ65571 TBD65570:TBD65571 SRH65570:SRH65571 SHL65570:SHL65571 RXP65570:RXP65571 RNT65570:RNT65571 RDX65570:RDX65571 QUB65570:QUB65571 QKF65570:QKF65571 QAJ65570:QAJ65571 PQN65570:PQN65571 PGR65570:PGR65571 OWV65570:OWV65571 OMZ65570:OMZ65571 ODD65570:ODD65571 NTH65570:NTH65571 NJL65570:NJL65571 MZP65570:MZP65571 MPT65570:MPT65571 MFX65570:MFX65571 LWB65570:LWB65571 LMF65570:LMF65571 LCJ65570:LCJ65571 KSN65570:KSN65571 KIR65570:KIR65571 JYV65570:JYV65571 JOZ65570:JOZ65571 JFD65570:JFD65571 IVH65570:IVH65571 ILL65570:ILL65571 IBP65570:IBP65571 HRT65570:HRT65571 HHX65570:HHX65571 GYB65570:GYB65571 GOF65570:GOF65571 GEJ65570:GEJ65571 FUN65570:FUN65571 FKR65570:FKR65571 FAV65570:FAV65571 EQZ65570:EQZ65571 EHD65570:EHD65571 DXH65570:DXH65571 DNL65570:DNL65571 DDP65570:DDP65571 CTT65570:CTT65571 CJX65570:CJX65571 CAB65570:CAB65571 BQF65570:BQF65571 BGJ65570:BGJ65571 AWN65570:AWN65571 AMR65570:AMR65571 ACV65570:ACV65571 SZ65570:SZ65571 JD65570:JD65571 H65570:H65571 WVP17:WVP18 WLT17:WLT18 WBX17:WBX18 VSB17:VSB18 VIF17:VIF18 UYJ17:UYJ18 UON17:UON18 UER17:UER18 TUV17:TUV18 TKZ17:TKZ18 TBD17:TBD18 SRH17:SRH18 SHL17:SHL18 RXP17:RXP18 RNT17:RNT18 RDX17:RDX18 QUB17:QUB18 QKF17:QKF18 QAJ17:QAJ18 PQN17:PQN18 PGR17:PGR18 OWV17:OWV18 OMZ17:OMZ18 ODD17:ODD18 NTH17:NTH18 NJL17:NJL18 MZP17:MZP18 MPT17:MPT18 MFX17:MFX18 LWB17:LWB18 LMF17:LMF18 LCJ17:LCJ18 KSN17:KSN18 KIR17:KIR18 JYV17:JYV18 JOZ17:JOZ18 JFD17:JFD18 IVH17:IVH18 ILL17:ILL18 IBP17:IBP18 HRT17:HRT18 HHX17:HHX18 GYB17:GYB18 GOF17:GOF18 GEJ17:GEJ18 FUN17:FUN18 FKR17:FKR18 FAV17:FAV18 EQZ17:EQZ18 EHD17:EHD18 DXH17:DXH18 DNL17:DNL18 DDP17:DDP18 CTT17:CTT18 CJX17:CJX18 CAB17:CAB18 BQF17:BQF18 BGJ17:BGJ18 AWN17:AWN18 AMR17:AMR18 ACV17:ACV18 SZ17:SZ18 JD17:JD18" xr:uid="{00000000-0002-0000-0400-000003000000}">
      <formula1>$N$1:$N$13</formula1>
    </dataValidation>
    <dataValidation errorStyle="warning" operator="lessThanOrEqual" allowBlank="1" showInputMessage="1" showErrorMessage="1" error="The proposed loan exceeds the maximum borrowing power" sqref="WVM983085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xr:uid="{00000000-0002-0000-0400-000004000000}"/>
    <dataValidation type="whole" allowBlank="1" showInputMessage="1" showErrorMessage="1" error="Max Term is 35 years " prompt="Max. Term is 35 years (up to maximum age 70 years)" sqref="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xr:uid="{00000000-0002-0000-0400-000005000000}">
      <formula1>5</formula1>
      <formula2>35</formula2>
    </dataValidation>
    <dataValidation errorStyle="warning" operator="lessThan" allowBlank="1" showInputMessage="1" showErrorMessage="1" sqref="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xr:uid="{00000000-0002-0000-0400-000006000000}"/>
    <dataValidation errorStyle="warning" operator="lessThanOrEqual" allowBlank="1" showInputMessage="1" showErrorMessage="1" promptTitle="Is this a Joint Application?" prompt="You must select &quot;Application Type: Joint&quot; above if you are entering an income in this section." sqref="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I59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I65604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I131140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I196676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I262212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I327748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I393284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I458820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I524356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I589892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I655428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I720964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I786500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I852036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I917572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I983108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WLU983108 WVQ983108 I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I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I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I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I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I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I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I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I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I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I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I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I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I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I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I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xr:uid="{00000000-0002-0000-0400-000007000000}"/>
    <dataValidation type="list" allowBlank="1" showInputMessage="1" showErrorMessage="1" sqref="N1226 WVP983070:WVP983071 WLT983070:WLT983071 WBX983070:WBX983071 VSB983070:VSB983071 VIF983070:VIF983071 UYJ983070:UYJ983071 UON983070:UON983071 UER983070:UER983071 TUV983070:TUV983071 TKZ983070:TKZ983071 TBD983070:TBD983071 SRH983070:SRH983071 SHL983070:SHL983071 RXP983070:RXP983071 RNT983070:RNT983071 RDX983070:RDX983071 QUB983070:QUB983071 QKF983070:QKF983071 QAJ983070:QAJ983071 PQN983070:PQN983071 PGR983070:PGR983071 OWV983070:OWV983071 OMZ983070:OMZ983071 ODD983070:ODD983071 NTH983070:NTH983071 NJL983070:NJL983071 MZP983070:MZP983071 MPT983070:MPT983071 MFX983070:MFX983071 LWB983070:LWB983071 LMF983070:LMF983071 LCJ983070:LCJ983071 KSN983070:KSN983071 KIR983070:KIR983071 JYV983070:JYV983071 JOZ983070:JOZ983071 JFD983070:JFD983071 IVH983070:IVH983071 ILL983070:ILL983071 IBP983070:IBP983071 HRT983070:HRT983071 HHX983070:HHX983071 GYB983070:GYB983071 GOF983070:GOF983071 GEJ983070:GEJ983071 FUN983070:FUN983071 FKR983070:FKR983071 FAV983070:FAV983071 EQZ983070:EQZ983071 EHD983070:EHD983071 DXH983070:DXH983071 DNL983070:DNL983071 DDP983070:DDP983071 CTT983070:CTT983071 CJX983070:CJX983071 CAB983070:CAB983071 BQF983070:BQF983071 BGJ983070:BGJ983071 AWN983070:AWN983071 AMR983070:AMR983071 ACV983070:ACV983071 SZ983070:SZ983071 JD983070:JD983071 H983070:H983071 WVP917534:WVP917535 WLT917534:WLT917535 WBX917534:WBX917535 VSB917534:VSB917535 VIF917534:VIF917535 UYJ917534:UYJ917535 UON917534:UON917535 UER917534:UER917535 TUV917534:TUV917535 TKZ917534:TKZ917535 TBD917534:TBD917535 SRH917534:SRH917535 SHL917534:SHL917535 RXP917534:RXP917535 RNT917534:RNT917535 RDX917534:RDX917535 QUB917534:QUB917535 QKF917534:QKF917535 QAJ917534:QAJ917535 PQN917534:PQN917535 PGR917534:PGR917535 OWV917534:OWV917535 OMZ917534:OMZ917535 ODD917534:ODD917535 NTH917534:NTH917535 NJL917534:NJL917535 MZP917534:MZP917535 MPT917534:MPT917535 MFX917534:MFX917535 LWB917534:LWB917535 LMF917534:LMF917535 LCJ917534:LCJ917535 KSN917534:KSN917535 KIR917534:KIR917535 JYV917534:JYV917535 JOZ917534:JOZ917535 JFD917534:JFD917535 IVH917534:IVH917535 ILL917534:ILL917535 IBP917534:IBP917535 HRT917534:HRT917535 HHX917534:HHX917535 GYB917534:GYB917535 GOF917534:GOF917535 GEJ917534:GEJ917535 FUN917534:FUN917535 FKR917534:FKR917535 FAV917534:FAV917535 EQZ917534:EQZ917535 EHD917534:EHD917535 DXH917534:DXH917535 DNL917534:DNL917535 DDP917534:DDP917535 CTT917534:CTT917535 CJX917534:CJX917535 CAB917534:CAB917535 BQF917534:BQF917535 BGJ917534:BGJ917535 AWN917534:AWN917535 AMR917534:AMR917535 ACV917534:ACV917535 SZ917534:SZ917535 JD917534:JD917535 H917534:H917535 WVP851998:WVP851999 WLT851998:WLT851999 WBX851998:WBX851999 VSB851998:VSB851999 VIF851998:VIF851999 UYJ851998:UYJ851999 UON851998:UON851999 UER851998:UER851999 TUV851998:TUV851999 TKZ851998:TKZ851999 TBD851998:TBD851999 SRH851998:SRH851999 SHL851998:SHL851999 RXP851998:RXP851999 RNT851998:RNT851999 RDX851998:RDX851999 QUB851998:QUB851999 QKF851998:QKF851999 QAJ851998:QAJ851999 PQN851998:PQN851999 PGR851998:PGR851999 OWV851998:OWV851999 OMZ851998:OMZ851999 ODD851998:ODD851999 NTH851998:NTH851999 NJL851998:NJL851999 MZP851998:MZP851999 MPT851998:MPT851999 MFX851998:MFX851999 LWB851998:LWB851999 LMF851998:LMF851999 LCJ851998:LCJ851999 KSN851998:KSN851999 KIR851998:KIR851999 JYV851998:JYV851999 JOZ851998:JOZ851999 JFD851998:JFD851999 IVH851998:IVH851999 ILL851998:ILL851999 IBP851998:IBP851999 HRT851998:HRT851999 HHX851998:HHX851999 GYB851998:GYB851999 GOF851998:GOF851999 GEJ851998:GEJ851999 FUN851998:FUN851999 FKR851998:FKR851999 FAV851998:FAV851999 EQZ851998:EQZ851999 EHD851998:EHD851999 DXH851998:DXH851999 DNL851998:DNL851999 DDP851998:DDP851999 CTT851998:CTT851999 CJX851998:CJX851999 CAB851998:CAB851999 BQF851998:BQF851999 BGJ851998:BGJ851999 AWN851998:AWN851999 AMR851998:AMR851999 ACV851998:ACV851999 SZ851998:SZ851999 JD851998:JD851999 H851998:H851999 WVP786462:WVP786463 WLT786462:WLT786463 WBX786462:WBX786463 VSB786462:VSB786463 VIF786462:VIF786463 UYJ786462:UYJ786463 UON786462:UON786463 UER786462:UER786463 TUV786462:TUV786463 TKZ786462:TKZ786463 TBD786462:TBD786463 SRH786462:SRH786463 SHL786462:SHL786463 RXP786462:RXP786463 RNT786462:RNT786463 RDX786462:RDX786463 QUB786462:QUB786463 QKF786462:QKF786463 QAJ786462:QAJ786463 PQN786462:PQN786463 PGR786462:PGR786463 OWV786462:OWV786463 OMZ786462:OMZ786463 ODD786462:ODD786463 NTH786462:NTH786463 NJL786462:NJL786463 MZP786462:MZP786463 MPT786462:MPT786463 MFX786462:MFX786463 LWB786462:LWB786463 LMF786462:LMF786463 LCJ786462:LCJ786463 KSN786462:KSN786463 KIR786462:KIR786463 JYV786462:JYV786463 JOZ786462:JOZ786463 JFD786462:JFD786463 IVH786462:IVH786463 ILL786462:ILL786463 IBP786462:IBP786463 HRT786462:HRT786463 HHX786462:HHX786463 GYB786462:GYB786463 GOF786462:GOF786463 GEJ786462:GEJ786463 FUN786462:FUN786463 FKR786462:FKR786463 FAV786462:FAV786463 EQZ786462:EQZ786463 EHD786462:EHD786463 DXH786462:DXH786463 DNL786462:DNL786463 DDP786462:DDP786463 CTT786462:CTT786463 CJX786462:CJX786463 CAB786462:CAB786463 BQF786462:BQF786463 BGJ786462:BGJ786463 AWN786462:AWN786463 AMR786462:AMR786463 ACV786462:ACV786463 SZ786462:SZ786463 JD786462:JD786463 H786462:H786463 WVP720926:WVP720927 WLT720926:WLT720927 WBX720926:WBX720927 VSB720926:VSB720927 VIF720926:VIF720927 UYJ720926:UYJ720927 UON720926:UON720927 UER720926:UER720927 TUV720926:TUV720927 TKZ720926:TKZ720927 TBD720926:TBD720927 SRH720926:SRH720927 SHL720926:SHL720927 RXP720926:RXP720927 RNT720926:RNT720927 RDX720926:RDX720927 QUB720926:QUB720927 QKF720926:QKF720927 QAJ720926:QAJ720927 PQN720926:PQN720927 PGR720926:PGR720927 OWV720926:OWV720927 OMZ720926:OMZ720927 ODD720926:ODD720927 NTH720926:NTH720927 NJL720926:NJL720927 MZP720926:MZP720927 MPT720926:MPT720927 MFX720926:MFX720927 LWB720926:LWB720927 LMF720926:LMF720927 LCJ720926:LCJ720927 KSN720926:KSN720927 KIR720926:KIR720927 JYV720926:JYV720927 JOZ720926:JOZ720927 JFD720926:JFD720927 IVH720926:IVH720927 ILL720926:ILL720927 IBP720926:IBP720927 HRT720926:HRT720927 HHX720926:HHX720927 GYB720926:GYB720927 GOF720926:GOF720927 GEJ720926:GEJ720927 FUN720926:FUN720927 FKR720926:FKR720927 FAV720926:FAV720927 EQZ720926:EQZ720927 EHD720926:EHD720927 DXH720926:DXH720927 DNL720926:DNL720927 DDP720926:DDP720927 CTT720926:CTT720927 CJX720926:CJX720927 CAB720926:CAB720927 BQF720926:BQF720927 BGJ720926:BGJ720927 AWN720926:AWN720927 AMR720926:AMR720927 ACV720926:ACV720927 SZ720926:SZ720927 JD720926:JD720927 H720926:H720927 WVP655390:WVP655391 WLT655390:WLT655391 WBX655390:WBX655391 VSB655390:VSB655391 VIF655390:VIF655391 UYJ655390:UYJ655391 UON655390:UON655391 UER655390:UER655391 TUV655390:TUV655391 TKZ655390:TKZ655391 TBD655390:TBD655391 SRH655390:SRH655391 SHL655390:SHL655391 RXP655390:RXP655391 RNT655390:RNT655391 RDX655390:RDX655391 QUB655390:QUB655391 QKF655390:QKF655391 QAJ655390:QAJ655391 PQN655390:PQN655391 PGR655390:PGR655391 OWV655390:OWV655391 OMZ655390:OMZ655391 ODD655390:ODD655391 NTH655390:NTH655391 NJL655390:NJL655391 MZP655390:MZP655391 MPT655390:MPT655391 MFX655390:MFX655391 LWB655390:LWB655391 LMF655390:LMF655391 LCJ655390:LCJ655391 KSN655390:KSN655391 KIR655390:KIR655391 JYV655390:JYV655391 JOZ655390:JOZ655391 JFD655390:JFD655391 IVH655390:IVH655391 ILL655390:ILL655391 IBP655390:IBP655391 HRT655390:HRT655391 HHX655390:HHX655391 GYB655390:GYB655391 GOF655390:GOF655391 GEJ655390:GEJ655391 FUN655390:FUN655391 FKR655390:FKR655391 FAV655390:FAV655391 EQZ655390:EQZ655391 EHD655390:EHD655391 DXH655390:DXH655391 DNL655390:DNL655391 DDP655390:DDP655391 CTT655390:CTT655391 CJX655390:CJX655391 CAB655390:CAB655391 BQF655390:BQF655391 BGJ655390:BGJ655391 AWN655390:AWN655391 AMR655390:AMR655391 ACV655390:ACV655391 SZ655390:SZ655391 JD655390:JD655391 H655390:H655391 WVP589854:WVP589855 WLT589854:WLT589855 WBX589854:WBX589855 VSB589854:VSB589855 VIF589854:VIF589855 UYJ589854:UYJ589855 UON589854:UON589855 UER589854:UER589855 TUV589854:TUV589855 TKZ589854:TKZ589855 TBD589854:TBD589855 SRH589854:SRH589855 SHL589854:SHL589855 RXP589854:RXP589855 RNT589854:RNT589855 RDX589854:RDX589855 QUB589854:QUB589855 QKF589854:QKF589855 QAJ589854:QAJ589855 PQN589854:PQN589855 PGR589854:PGR589855 OWV589854:OWV589855 OMZ589854:OMZ589855 ODD589854:ODD589855 NTH589854:NTH589855 NJL589854:NJL589855 MZP589854:MZP589855 MPT589854:MPT589855 MFX589854:MFX589855 LWB589854:LWB589855 LMF589854:LMF589855 LCJ589854:LCJ589855 KSN589854:KSN589855 KIR589854:KIR589855 JYV589854:JYV589855 JOZ589854:JOZ589855 JFD589854:JFD589855 IVH589854:IVH589855 ILL589854:ILL589855 IBP589854:IBP589855 HRT589854:HRT589855 HHX589854:HHX589855 GYB589854:GYB589855 GOF589854:GOF589855 GEJ589854:GEJ589855 FUN589854:FUN589855 FKR589854:FKR589855 FAV589854:FAV589855 EQZ589854:EQZ589855 EHD589854:EHD589855 DXH589854:DXH589855 DNL589854:DNL589855 DDP589854:DDP589855 CTT589854:CTT589855 CJX589854:CJX589855 CAB589854:CAB589855 BQF589854:BQF589855 BGJ589854:BGJ589855 AWN589854:AWN589855 AMR589854:AMR589855 ACV589854:ACV589855 SZ589854:SZ589855 JD589854:JD589855 H589854:H589855 WVP524318:WVP524319 WLT524318:WLT524319 WBX524318:WBX524319 VSB524318:VSB524319 VIF524318:VIF524319 UYJ524318:UYJ524319 UON524318:UON524319 UER524318:UER524319 TUV524318:TUV524319 TKZ524318:TKZ524319 TBD524318:TBD524319 SRH524318:SRH524319 SHL524318:SHL524319 RXP524318:RXP524319 RNT524318:RNT524319 RDX524318:RDX524319 QUB524318:QUB524319 QKF524318:QKF524319 QAJ524318:QAJ524319 PQN524318:PQN524319 PGR524318:PGR524319 OWV524318:OWV524319 OMZ524318:OMZ524319 ODD524318:ODD524319 NTH524318:NTH524319 NJL524318:NJL524319 MZP524318:MZP524319 MPT524318:MPT524319 MFX524318:MFX524319 LWB524318:LWB524319 LMF524318:LMF524319 LCJ524318:LCJ524319 KSN524318:KSN524319 KIR524318:KIR524319 JYV524318:JYV524319 JOZ524318:JOZ524319 JFD524318:JFD524319 IVH524318:IVH524319 ILL524318:ILL524319 IBP524318:IBP524319 HRT524318:HRT524319 HHX524318:HHX524319 GYB524318:GYB524319 GOF524318:GOF524319 GEJ524318:GEJ524319 FUN524318:FUN524319 FKR524318:FKR524319 FAV524318:FAV524319 EQZ524318:EQZ524319 EHD524318:EHD524319 DXH524318:DXH524319 DNL524318:DNL524319 DDP524318:DDP524319 CTT524318:CTT524319 CJX524318:CJX524319 CAB524318:CAB524319 BQF524318:BQF524319 BGJ524318:BGJ524319 AWN524318:AWN524319 AMR524318:AMR524319 ACV524318:ACV524319 SZ524318:SZ524319 JD524318:JD524319 H524318:H524319 WVP458782:WVP458783 WLT458782:WLT458783 WBX458782:WBX458783 VSB458782:VSB458783 VIF458782:VIF458783 UYJ458782:UYJ458783 UON458782:UON458783 UER458782:UER458783 TUV458782:TUV458783 TKZ458782:TKZ458783 TBD458782:TBD458783 SRH458782:SRH458783 SHL458782:SHL458783 RXP458782:RXP458783 RNT458782:RNT458783 RDX458782:RDX458783 QUB458782:QUB458783 QKF458782:QKF458783 QAJ458782:QAJ458783 PQN458782:PQN458783 PGR458782:PGR458783 OWV458782:OWV458783 OMZ458782:OMZ458783 ODD458782:ODD458783 NTH458782:NTH458783 NJL458782:NJL458783 MZP458782:MZP458783 MPT458782:MPT458783 MFX458782:MFX458783 LWB458782:LWB458783 LMF458782:LMF458783 LCJ458782:LCJ458783 KSN458782:KSN458783 KIR458782:KIR458783 JYV458782:JYV458783 JOZ458782:JOZ458783 JFD458782:JFD458783 IVH458782:IVH458783 ILL458782:ILL458783 IBP458782:IBP458783 HRT458782:HRT458783 HHX458782:HHX458783 GYB458782:GYB458783 GOF458782:GOF458783 GEJ458782:GEJ458783 FUN458782:FUN458783 FKR458782:FKR458783 FAV458782:FAV458783 EQZ458782:EQZ458783 EHD458782:EHD458783 DXH458782:DXH458783 DNL458782:DNL458783 DDP458782:DDP458783 CTT458782:CTT458783 CJX458782:CJX458783 CAB458782:CAB458783 BQF458782:BQF458783 BGJ458782:BGJ458783 AWN458782:AWN458783 AMR458782:AMR458783 ACV458782:ACV458783 SZ458782:SZ458783 JD458782:JD458783 H458782:H458783 WVP393246:WVP393247 WLT393246:WLT393247 WBX393246:WBX393247 VSB393246:VSB393247 VIF393246:VIF393247 UYJ393246:UYJ393247 UON393246:UON393247 UER393246:UER393247 TUV393246:TUV393247 TKZ393246:TKZ393247 TBD393246:TBD393247 SRH393246:SRH393247 SHL393246:SHL393247 RXP393246:RXP393247 RNT393246:RNT393247 RDX393246:RDX393247 QUB393246:QUB393247 QKF393246:QKF393247 QAJ393246:QAJ393247 PQN393246:PQN393247 PGR393246:PGR393247 OWV393246:OWV393247 OMZ393246:OMZ393247 ODD393246:ODD393247 NTH393246:NTH393247 NJL393246:NJL393247 MZP393246:MZP393247 MPT393246:MPT393247 MFX393246:MFX393247 LWB393246:LWB393247 LMF393246:LMF393247 LCJ393246:LCJ393247 KSN393246:KSN393247 KIR393246:KIR393247 JYV393246:JYV393247 JOZ393246:JOZ393247 JFD393246:JFD393247 IVH393246:IVH393247 ILL393246:ILL393247 IBP393246:IBP393247 HRT393246:HRT393247 HHX393246:HHX393247 GYB393246:GYB393247 GOF393246:GOF393247 GEJ393246:GEJ393247 FUN393246:FUN393247 FKR393246:FKR393247 FAV393246:FAV393247 EQZ393246:EQZ393247 EHD393246:EHD393247 DXH393246:DXH393247 DNL393246:DNL393247 DDP393246:DDP393247 CTT393246:CTT393247 CJX393246:CJX393247 CAB393246:CAB393247 BQF393246:BQF393247 BGJ393246:BGJ393247 AWN393246:AWN393247 AMR393246:AMR393247 ACV393246:ACV393247 SZ393246:SZ393247 JD393246:JD393247 H393246:H393247 WVP327710:WVP327711 WLT327710:WLT327711 WBX327710:WBX327711 VSB327710:VSB327711 VIF327710:VIF327711 UYJ327710:UYJ327711 UON327710:UON327711 UER327710:UER327711 TUV327710:TUV327711 TKZ327710:TKZ327711 TBD327710:TBD327711 SRH327710:SRH327711 SHL327710:SHL327711 RXP327710:RXP327711 RNT327710:RNT327711 RDX327710:RDX327711 QUB327710:QUB327711 QKF327710:QKF327711 QAJ327710:QAJ327711 PQN327710:PQN327711 PGR327710:PGR327711 OWV327710:OWV327711 OMZ327710:OMZ327711 ODD327710:ODD327711 NTH327710:NTH327711 NJL327710:NJL327711 MZP327710:MZP327711 MPT327710:MPT327711 MFX327710:MFX327711 LWB327710:LWB327711 LMF327710:LMF327711 LCJ327710:LCJ327711 KSN327710:KSN327711 KIR327710:KIR327711 JYV327710:JYV327711 JOZ327710:JOZ327711 JFD327710:JFD327711 IVH327710:IVH327711 ILL327710:ILL327711 IBP327710:IBP327711 HRT327710:HRT327711 HHX327710:HHX327711 GYB327710:GYB327711 GOF327710:GOF327711 GEJ327710:GEJ327711 FUN327710:FUN327711 FKR327710:FKR327711 FAV327710:FAV327711 EQZ327710:EQZ327711 EHD327710:EHD327711 DXH327710:DXH327711 DNL327710:DNL327711 DDP327710:DDP327711 CTT327710:CTT327711 CJX327710:CJX327711 CAB327710:CAB327711 BQF327710:BQF327711 BGJ327710:BGJ327711 AWN327710:AWN327711 AMR327710:AMR327711 ACV327710:ACV327711 SZ327710:SZ327711 JD327710:JD327711 H327710:H327711 WVP262174:WVP262175 WLT262174:WLT262175 WBX262174:WBX262175 VSB262174:VSB262175 VIF262174:VIF262175 UYJ262174:UYJ262175 UON262174:UON262175 UER262174:UER262175 TUV262174:TUV262175 TKZ262174:TKZ262175 TBD262174:TBD262175 SRH262174:SRH262175 SHL262174:SHL262175 RXP262174:RXP262175 RNT262174:RNT262175 RDX262174:RDX262175 QUB262174:QUB262175 QKF262174:QKF262175 QAJ262174:QAJ262175 PQN262174:PQN262175 PGR262174:PGR262175 OWV262174:OWV262175 OMZ262174:OMZ262175 ODD262174:ODD262175 NTH262174:NTH262175 NJL262174:NJL262175 MZP262174:MZP262175 MPT262174:MPT262175 MFX262174:MFX262175 LWB262174:LWB262175 LMF262174:LMF262175 LCJ262174:LCJ262175 KSN262174:KSN262175 KIR262174:KIR262175 JYV262174:JYV262175 JOZ262174:JOZ262175 JFD262174:JFD262175 IVH262174:IVH262175 ILL262174:ILL262175 IBP262174:IBP262175 HRT262174:HRT262175 HHX262174:HHX262175 GYB262174:GYB262175 GOF262174:GOF262175 GEJ262174:GEJ262175 FUN262174:FUN262175 FKR262174:FKR262175 FAV262174:FAV262175 EQZ262174:EQZ262175 EHD262174:EHD262175 DXH262174:DXH262175 DNL262174:DNL262175 DDP262174:DDP262175 CTT262174:CTT262175 CJX262174:CJX262175 CAB262174:CAB262175 BQF262174:BQF262175 BGJ262174:BGJ262175 AWN262174:AWN262175 AMR262174:AMR262175 ACV262174:ACV262175 SZ262174:SZ262175 JD262174:JD262175 H262174:H262175 WVP196638:WVP196639 WLT196638:WLT196639 WBX196638:WBX196639 VSB196638:VSB196639 VIF196638:VIF196639 UYJ196638:UYJ196639 UON196638:UON196639 UER196638:UER196639 TUV196638:TUV196639 TKZ196638:TKZ196639 TBD196638:TBD196639 SRH196638:SRH196639 SHL196638:SHL196639 RXP196638:RXP196639 RNT196638:RNT196639 RDX196638:RDX196639 QUB196638:QUB196639 QKF196638:QKF196639 QAJ196638:QAJ196639 PQN196638:PQN196639 PGR196638:PGR196639 OWV196638:OWV196639 OMZ196638:OMZ196639 ODD196638:ODD196639 NTH196638:NTH196639 NJL196638:NJL196639 MZP196638:MZP196639 MPT196638:MPT196639 MFX196638:MFX196639 LWB196638:LWB196639 LMF196638:LMF196639 LCJ196638:LCJ196639 KSN196638:KSN196639 KIR196638:KIR196639 JYV196638:JYV196639 JOZ196638:JOZ196639 JFD196638:JFD196639 IVH196638:IVH196639 ILL196638:ILL196639 IBP196638:IBP196639 HRT196638:HRT196639 HHX196638:HHX196639 GYB196638:GYB196639 GOF196638:GOF196639 GEJ196638:GEJ196639 FUN196638:FUN196639 FKR196638:FKR196639 FAV196638:FAV196639 EQZ196638:EQZ196639 EHD196638:EHD196639 DXH196638:DXH196639 DNL196638:DNL196639 DDP196638:DDP196639 CTT196638:CTT196639 CJX196638:CJX196639 CAB196638:CAB196639 BQF196638:BQF196639 BGJ196638:BGJ196639 AWN196638:AWN196639 AMR196638:AMR196639 ACV196638:ACV196639 SZ196638:SZ196639 JD196638:JD196639 H196638:H196639 WVP131102:WVP131103 WLT131102:WLT131103 WBX131102:WBX131103 VSB131102:VSB131103 VIF131102:VIF131103 UYJ131102:UYJ131103 UON131102:UON131103 UER131102:UER131103 TUV131102:TUV131103 TKZ131102:TKZ131103 TBD131102:TBD131103 SRH131102:SRH131103 SHL131102:SHL131103 RXP131102:RXP131103 RNT131102:RNT131103 RDX131102:RDX131103 QUB131102:QUB131103 QKF131102:QKF131103 QAJ131102:QAJ131103 PQN131102:PQN131103 PGR131102:PGR131103 OWV131102:OWV131103 OMZ131102:OMZ131103 ODD131102:ODD131103 NTH131102:NTH131103 NJL131102:NJL131103 MZP131102:MZP131103 MPT131102:MPT131103 MFX131102:MFX131103 LWB131102:LWB131103 LMF131102:LMF131103 LCJ131102:LCJ131103 KSN131102:KSN131103 KIR131102:KIR131103 JYV131102:JYV131103 JOZ131102:JOZ131103 JFD131102:JFD131103 IVH131102:IVH131103 ILL131102:ILL131103 IBP131102:IBP131103 HRT131102:HRT131103 HHX131102:HHX131103 GYB131102:GYB131103 GOF131102:GOF131103 GEJ131102:GEJ131103 FUN131102:FUN131103 FKR131102:FKR131103 FAV131102:FAV131103 EQZ131102:EQZ131103 EHD131102:EHD131103 DXH131102:DXH131103 DNL131102:DNL131103 DDP131102:DDP131103 CTT131102:CTT131103 CJX131102:CJX131103 CAB131102:CAB131103 BQF131102:BQF131103 BGJ131102:BGJ131103 AWN131102:AWN131103 AMR131102:AMR131103 ACV131102:ACV131103 SZ131102:SZ131103 JD131102:JD131103 H131102:H131103 WVP65566:WVP65567 WLT65566:WLT65567 WBX65566:WBX65567 VSB65566:VSB65567 VIF65566:VIF65567 UYJ65566:UYJ65567 UON65566:UON65567 UER65566:UER65567 TUV65566:TUV65567 TKZ65566:TKZ65567 TBD65566:TBD65567 SRH65566:SRH65567 SHL65566:SHL65567 RXP65566:RXP65567 RNT65566:RNT65567 RDX65566:RDX65567 QUB65566:QUB65567 QKF65566:QKF65567 QAJ65566:QAJ65567 PQN65566:PQN65567 PGR65566:PGR65567 OWV65566:OWV65567 OMZ65566:OMZ65567 ODD65566:ODD65567 NTH65566:NTH65567 NJL65566:NJL65567 MZP65566:MZP65567 MPT65566:MPT65567 MFX65566:MFX65567 LWB65566:LWB65567 LMF65566:LMF65567 LCJ65566:LCJ65567 KSN65566:KSN65567 KIR65566:KIR65567 JYV65566:JYV65567 JOZ65566:JOZ65567 JFD65566:JFD65567 IVH65566:IVH65567 ILL65566:ILL65567 IBP65566:IBP65567 HRT65566:HRT65567 HHX65566:HHX65567 GYB65566:GYB65567 GOF65566:GOF65567 GEJ65566:GEJ65567 FUN65566:FUN65567 FKR65566:FKR65567 FAV65566:FAV65567 EQZ65566:EQZ65567 EHD65566:EHD65567 DXH65566:DXH65567 DNL65566:DNL65567 DDP65566:DDP65567 CTT65566:CTT65567 CJX65566:CJX65567 CAB65566:CAB65567 BQF65566:BQF65567 BGJ65566:BGJ65567 AWN65566:AWN65567 AMR65566:AMR65567 ACV65566:ACV65567 SZ65566:SZ65567 JD65566:JD65567 H65566:H65567 WVP13:WVP14 WLT13:WLT14 WBX13:WBX14 VSB13:VSB14 VIF13:VIF14 UYJ13:UYJ14 UON13:UON14 UER13:UER14 TUV13:TUV14 TKZ13:TKZ14 TBD13:TBD14 SRH13:SRH14 SHL13:SHL14 RXP13:RXP14 RNT13:RNT14 RDX13:RDX14 QUB13:QUB14 QKF13:QKF14 QAJ13:QAJ14 PQN13:PQN14 PGR13:PGR14 OWV13:OWV14 OMZ13:OMZ14 ODD13:ODD14 NTH13:NTH14 NJL13:NJL14 MZP13:MZP14 MPT13:MPT14 MFX13:MFX14 LWB13:LWB14 LMF13:LMF14 LCJ13:LCJ14 KSN13:KSN14 KIR13:KIR14 JYV13:JYV14 JOZ13:JOZ14 JFD13:JFD14 IVH13:IVH14 ILL13:ILL14 IBP13:IBP14 HRT13:HRT14 HHX13:HHX14 GYB13:GYB14 GOF13:GOF14 GEJ13:GEJ14 FUN13:FUN14 FKR13:FKR14 FAV13:FAV14 EQZ13:EQZ14 EHD13:EHD14 DXH13:DXH14 DNL13:DNL14 DDP13:DDP14 CTT13:CTT14 CJX13:CJX14 CAB13:CAB14 BQF13:BQF14 BGJ13:BGJ14 AWN13:AWN14 AMR13:AMR14 ACV13:ACV14 SZ13:SZ14 JD13:JD14 WVP983076:WVP983081 WLT983076:WLT983081 WBX983076:WBX983081 VSB983076:VSB983081 VIF983076:VIF983081 UYJ983076:UYJ983081 UON983076:UON983081 UER983076:UER983081 TUV983076:TUV983081 TKZ983076:TKZ983081 TBD983076:TBD983081 SRH983076:SRH983081 SHL983076:SHL983081 RXP983076:RXP983081 RNT983076:RNT983081 RDX983076:RDX983081 QUB983076:QUB983081 QKF983076:QKF983081 QAJ983076:QAJ983081 PQN983076:PQN983081 PGR983076:PGR983081 OWV983076:OWV983081 OMZ983076:OMZ983081 ODD983076:ODD983081 NTH983076:NTH983081 NJL983076:NJL983081 MZP983076:MZP983081 MPT983076:MPT983081 MFX983076:MFX983081 LWB983076:LWB983081 LMF983076:LMF983081 LCJ983076:LCJ983081 KSN983076:KSN983081 KIR983076:KIR983081 JYV983076:JYV983081 JOZ983076:JOZ983081 JFD983076:JFD983081 IVH983076:IVH983081 ILL983076:ILL983081 IBP983076:IBP983081 HRT983076:HRT983081 HHX983076:HHX983081 GYB983076:GYB983081 GOF983076:GOF983081 GEJ983076:GEJ983081 FUN983076:FUN983081 FKR983076:FKR983081 FAV983076:FAV983081 EQZ983076:EQZ983081 EHD983076:EHD983081 DXH983076:DXH983081 DNL983076:DNL983081 DDP983076:DDP983081 CTT983076:CTT983081 CJX983076:CJX983081 CAB983076:CAB983081 BQF983076:BQF983081 BGJ983076:BGJ983081 AWN983076:AWN983081 AMR983076:AMR983081 ACV983076:ACV983081 SZ983076:SZ983081 JD983076:JD983081 H983076:H983081 WVP917540:WVP917545 WLT917540:WLT917545 WBX917540:WBX917545 VSB917540:VSB917545 VIF917540:VIF917545 UYJ917540:UYJ917545 UON917540:UON917545 UER917540:UER917545 TUV917540:TUV917545 TKZ917540:TKZ917545 TBD917540:TBD917545 SRH917540:SRH917545 SHL917540:SHL917545 RXP917540:RXP917545 RNT917540:RNT917545 RDX917540:RDX917545 QUB917540:QUB917545 QKF917540:QKF917545 QAJ917540:QAJ917545 PQN917540:PQN917545 PGR917540:PGR917545 OWV917540:OWV917545 OMZ917540:OMZ917545 ODD917540:ODD917545 NTH917540:NTH917545 NJL917540:NJL917545 MZP917540:MZP917545 MPT917540:MPT917545 MFX917540:MFX917545 LWB917540:LWB917545 LMF917540:LMF917545 LCJ917540:LCJ917545 KSN917540:KSN917545 KIR917540:KIR917545 JYV917540:JYV917545 JOZ917540:JOZ917545 JFD917540:JFD917545 IVH917540:IVH917545 ILL917540:ILL917545 IBP917540:IBP917545 HRT917540:HRT917545 HHX917540:HHX917545 GYB917540:GYB917545 GOF917540:GOF917545 GEJ917540:GEJ917545 FUN917540:FUN917545 FKR917540:FKR917545 FAV917540:FAV917545 EQZ917540:EQZ917545 EHD917540:EHD917545 DXH917540:DXH917545 DNL917540:DNL917545 DDP917540:DDP917545 CTT917540:CTT917545 CJX917540:CJX917545 CAB917540:CAB917545 BQF917540:BQF917545 BGJ917540:BGJ917545 AWN917540:AWN917545 AMR917540:AMR917545 ACV917540:ACV917545 SZ917540:SZ917545 JD917540:JD917545 H917540:H917545 WVP852004:WVP852009 WLT852004:WLT852009 WBX852004:WBX852009 VSB852004:VSB852009 VIF852004:VIF852009 UYJ852004:UYJ852009 UON852004:UON852009 UER852004:UER852009 TUV852004:TUV852009 TKZ852004:TKZ852009 TBD852004:TBD852009 SRH852004:SRH852009 SHL852004:SHL852009 RXP852004:RXP852009 RNT852004:RNT852009 RDX852004:RDX852009 QUB852004:QUB852009 QKF852004:QKF852009 QAJ852004:QAJ852009 PQN852004:PQN852009 PGR852004:PGR852009 OWV852004:OWV852009 OMZ852004:OMZ852009 ODD852004:ODD852009 NTH852004:NTH852009 NJL852004:NJL852009 MZP852004:MZP852009 MPT852004:MPT852009 MFX852004:MFX852009 LWB852004:LWB852009 LMF852004:LMF852009 LCJ852004:LCJ852009 KSN852004:KSN852009 KIR852004:KIR852009 JYV852004:JYV852009 JOZ852004:JOZ852009 JFD852004:JFD852009 IVH852004:IVH852009 ILL852004:ILL852009 IBP852004:IBP852009 HRT852004:HRT852009 HHX852004:HHX852009 GYB852004:GYB852009 GOF852004:GOF852009 GEJ852004:GEJ852009 FUN852004:FUN852009 FKR852004:FKR852009 FAV852004:FAV852009 EQZ852004:EQZ852009 EHD852004:EHD852009 DXH852004:DXH852009 DNL852004:DNL852009 DDP852004:DDP852009 CTT852004:CTT852009 CJX852004:CJX852009 CAB852004:CAB852009 BQF852004:BQF852009 BGJ852004:BGJ852009 AWN852004:AWN852009 AMR852004:AMR852009 ACV852004:ACV852009 SZ852004:SZ852009 JD852004:JD852009 H852004:H852009 WVP786468:WVP786473 WLT786468:WLT786473 WBX786468:WBX786473 VSB786468:VSB786473 VIF786468:VIF786473 UYJ786468:UYJ786473 UON786468:UON786473 UER786468:UER786473 TUV786468:TUV786473 TKZ786468:TKZ786473 TBD786468:TBD786473 SRH786468:SRH786473 SHL786468:SHL786473 RXP786468:RXP786473 RNT786468:RNT786473 RDX786468:RDX786473 QUB786468:QUB786473 QKF786468:QKF786473 QAJ786468:QAJ786473 PQN786468:PQN786473 PGR786468:PGR786473 OWV786468:OWV786473 OMZ786468:OMZ786473 ODD786468:ODD786473 NTH786468:NTH786473 NJL786468:NJL786473 MZP786468:MZP786473 MPT786468:MPT786473 MFX786468:MFX786473 LWB786468:LWB786473 LMF786468:LMF786473 LCJ786468:LCJ786473 KSN786468:KSN786473 KIR786468:KIR786473 JYV786468:JYV786473 JOZ786468:JOZ786473 JFD786468:JFD786473 IVH786468:IVH786473 ILL786468:ILL786473 IBP786468:IBP786473 HRT786468:HRT786473 HHX786468:HHX786473 GYB786468:GYB786473 GOF786468:GOF786473 GEJ786468:GEJ786473 FUN786468:FUN786473 FKR786468:FKR786473 FAV786468:FAV786473 EQZ786468:EQZ786473 EHD786468:EHD786473 DXH786468:DXH786473 DNL786468:DNL786473 DDP786468:DDP786473 CTT786468:CTT786473 CJX786468:CJX786473 CAB786468:CAB786473 BQF786468:BQF786473 BGJ786468:BGJ786473 AWN786468:AWN786473 AMR786468:AMR786473 ACV786468:ACV786473 SZ786468:SZ786473 JD786468:JD786473 H786468:H786473 WVP720932:WVP720937 WLT720932:WLT720937 WBX720932:WBX720937 VSB720932:VSB720937 VIF720932:VIF720937 UYJ720932:UYJ720937 UON720932:UON720937 UER720932:UER720937 TUV720932:TUV720937 TKZ720932:TKZ720937 TBD720932:TBD720937 SRH720932:SRH720937 SHL720932:SHL720937 RXP720932:RXP720937 RNT720932:RNT720937 RDX720932:RDX720937 QUB720932:QUB720937 QKF720932:QKF720937 QAJ720932:QAJ720937 PQN720932:PQN720937 PGR720932:PGR720937 OWV720932:OWV720937 OMZ720932:OMZ720937 ODD720932:ODD720937 NTH720932:NTH720937 NJL720932:NJL720937 MZP720932:MZP720937 MPT720932:MPT720937 MFX720932:MFX720937 LWB720932:LWB720937 LMF720932:LMF720937 LCJ720932:LCJ720937 KSN720932:KSN720937 KIR720932:KIR720937 JYV720932:JYV720937 JOZ720932:JOZ720937 JFD720932:JFD720937 IVH720932:IVH720937 ILL720932:ILL720937 IBP720932:IBP720937 HRT720932:HRT720937 HHX720932:HHX720937 GYB720932:GYB720937 GOF720932:GOF720937 GEJ720932:GEJ720937 FUN720932:FUN720937 FKR720932:FKR720937 FAV720932:FAV720937 EQZ720932:EQZ720937 EHD720932:EHD720937 DXH720932:DXH720937 DNL720932:DNL720937 DDP720932:DDP720937 CTT720932:CTT720937 CJX720932:CJX720937 CAB720932:CAB720937 BQF720932:BQF720937 BGJ720932:BGJ720937 AWN720932:AWN720937 AMR720932:AMR720937 ACV720932:ACV720937 SZ720932:SZ720937 JD720932:JD720937 H720932:H720937 WVP655396:WVP655401 WLT655396:WLT655401 WBX655396:WBX655401 VSB655396:VSB655401 VIF655396:VIF655401 UYJ655396:UYJ655401 UON655396:UON655401 UER655396:UER655401 TUV655396:TUV655401 TKZ655396:TKZ655401 TBD655396:TBD655401 SRH655396:SRH655401 SHL655396:SHL655401 RXP655396:RXP655401 RNT655396:RNT655401 RDX655396:RDX655401 QUB655396:QUB655401 QKF655396:QKF655401 QAJ655396:QAJ655401 PQN655396:PQN655401 PGR655396:PGR655401 OWV655396:OWV655401 OMZ655396:OMZ655401 ODD655396:ODD655401 NTH655396:NTH655401 NJL655396:NJL655401 MZP655396:MZP655401 MPT655396:MPT655401 MFX655396:MFX655401 LWB655396:LWB655401 LMF655396:LMF655401 LCJ655396:LCJ655401 KSN655396:KSN655401 KIR655396:KIR655401 JYV655396:JYV655401 JOZ655396:JOZ655401 JFD655396:JFD655401 IVH655396:IVH655401 ILL655396:ILL655401 IBP655396:IBP655401 HRT655396:HRT655401 HHX655396:HHX655401 GYB655396:GYB655401 GOF655396:GOF655401 GEJ655396:GEJ655401 FUN655396:FUN655401 FKR655396:FKR655401 FAV655396:FAV655401 EQZ655396:EQZ655401 EHD655396:EHD655401 DXH655396:DXH655401 DNL655396:DNL655401 DDP655396:DDP655401 CTT655396:CTT655401 CJX655396:CJX655401 CAB655396:CAB655401 BQF655396:BQF655401 BGJ655396:BGJ655401 AWN655396:AWN655401 AMR655396:AMR655401 ACV655396:ACV655401 SZ655396:SZ655401 JD655396:JD655401 H655396:H655401 WVP589860:WVP589865 WLT589860:WLT589865 WBX589860:WBX589865 VSB589860:VSB589865 VIF589860:VIF589865 UYJ589860:UYJ589865 UON589860:UON589865 UER589860:UER589865 TUV589860:TUV589865 TKZ589860:TKZ589865 TBD589860:TBD589865 SRH589860:SRH589865 SHL589860:SHL589865 RXP589860:RXP589865 RNT589860:RNT589865 RDX589860:RDX589865 QUB589860:QUB589865 QKF589860:QKF589865 QAJ589860:QAJ589865 PQN589860:PQN589865 PGR589860:PGR589865 OWV589860:OWV589865 OMZ589860:OMZ589865 ODD589860:ODD589865 NTH589860:NTH589865 NJL589860:NJL589865 MZP589860:MZP589865 MPT589860:MPT589865 MFX589860:MFX589865 LWB589860:LWB589865 LMF589860:LMF589865 LCJ589860:LCJ589865 KSN589860:KSN589865 KIR589860:KIR589865 JYV589860:JYV589865 JOZ589860:JOZ589865 JFD589860:JFD589865 IVH589860:IVH589865 ILL589860:ILL589865 IBP589860:IBP589865 HRT589860:HRT589865 HHX589860:HHX589865 GYB589860:GYB589865 GOF589860:GOF589865 GEJ589860:GEJ589865 FUN589860:FUN589865 FKR589860:FKR589865 FAV589860:FAV589865 EQZ589860:EQZ589865 EHD589860:EHD589865 DXH589860:DXH589865 DNL589860:DNL589865 DDP589860:DDP589865 CTT589860:CTT589865 CJX589860:CJX589865 CAB589860:CAB589865 BQF589860:BQF589865 BGJ589860:BGJ589865 AWN589860:AWN589865 AMR589860:AMR589865 ACV589860:ACV589865 SZ589860:SZ589865 JD589860:JD589865 H589860:H589865 WVP524324:WVP524329 WLT524324:WLT524329 WBX524324:WBX524329 VSB524324:VSB524329 VIF524324:VIF524329 UYJ524324:UYJ524329 UON524324:UON524329 UER524324:UER524329 TUV524324:TUV524329 TKZ524324:TKZ524329 TBD524324:TBD524329 SRH524324:SRH524329 SHL524324:SHL524329 RXP524324:RXP524329 RNT524324:RNT524329 RDX524324:RDX524329 QUB524324:QUB524329 QKF524324:QKF524329 QAJ524324:QAJ524329 PQN524324:PQN524329 PGR524324:PGR524329 OWV524324:OWV524329 OMZ524324:OMZ524329 ODD524324:ODD524329 NTH524324:NTH524329 NJL524324:NJL524329 MZP524324:MZP524329 MPT524324:MPT524329 MFX524324:MFX524329 LWB524324:LWB524329 LMF524324:LMF524329 LCJ524324:LCJ524329 KSN524324:KSN524329 KIR524324:KIR524329 JYV524324:JYV524329 JOZ524324:JOZ524329 JFD524324:JFD524329 IVH524324:IVH524329 ILL524324:ILL524329 IBP524324:IBP524329 HRT524324:HRT524329 HHX524324:HHX524329 GYB524324:GYB524329 GOF524324:GOF524329 GEJ524324:GEJ524329 FUN524324:FUN524329 FKR524324:FKR524329 FAV524324:FAV524329 EQZ524324:EQZ524329 EHD524324:EHD524329 DXH524324:DXH524329 DNL524324:DNL524329 DDP524324:DDP524329 CTT524324:CTT524329 CJX524324:CJX524329 CAB524324:CAB524329 BQF524324:BQF524329 BGJ524324:BGJ524329 AWN524324:AWN524329 AMR524324:AMR524329 ACV524324:ACV524329 SZ524324:SZ524329 JD524324:JD524329 H524324:H524329 WVP458788:WVP458793 WLT458788:WLT458793 WBX458788:WBX458793 VSB458788:VSB458793 VIF458788:VIF458793 UYJ458788:UYJ458793 UON458788:UON458793 UER458788:UER458793 TUV458788:TUV458793 TKZ458788:TKZ458793 TBD458788:TBD458793 SRH458788:SRH458793 SHL458788:SHL458793 RXP458788:RXP458793 RNT458788:RNT458793 RDX458788:RDX458793 QUB458788:QUB458793 QKF458788:QKF458793 QAJ458788:QAJ458793 PQN458788:PQN458793 PGR458788:PGR458793 OWV458788:OWV458793 OMZ458788:OMZ458793 ODD458788:ODD458793 NTH458788:NTH458793 NJL458788:NJL458793 MZP458788:MZP458793 MPT458788:MPT458793 MFX458788:MFX458793 LWB458788:LWB458793 LMF458788:LMF458793 LCJ458788:LCJ458793 KSN458788:KSN458793 KIR458788:KIR458793 JYV458788:JYV458793 JOZ458788:JOZ458793 JFD458788:JFD458793 IVH458788:IVH458793 ILL458788:ILL458793 IBP458788:IBP458793 HRT458788:HRT458793 HHX458788:HHX458793 GYB458788:GYB458793 GOF458788:GOF458793 GEJ458788:GEJ458793 FUN458788:FUN458793 FKR458788:FKR458793 FAV458788:FAV458793 EQZ458788:EQZ458793 EHD458788:EHD458793 DXH458788:DXH458793 DNL458788:DNL458793 DDP458788:DDP458793 CTT458788:CTT458793 CJX458788:CJX458793 CAB458788:CAB458793 BQF458788:BQF458793 BGJ458788:BGJ458793 AWN458788:AWN458793 AMR458788:AMR458793 ACV458788:ACV458793 SZ458788:SZ458793 JD458788:JD458793 H458788:H458793 WVP393252:WVP393257 WLT393252:WLT393257 WBX393252:WBX393257 VSB393252:VSB393257 VIF393252:VIF393257 UYJ393252:UYJ393257 UON393252:UON393257 UER393252:UER393257 TUV393252:TUV393257 TKZ393252:TKZ393257 TBD393252:TBD393257 SRH393252:SRH393257 SHL393252:SHL393257 RXP393252:RXP393257 RNT393252:RNT393257 RDX393252:RDX393257 QUB393252:QUB393257 QKF393252:QKF393257 QAJ393252:QAJ393257 PQN393252:PQN393257 PGR393252:PGR393257 OWV393252:OWV393257 OMZ393252:OMZ393257 ODD393252:ODD393257 NTH393252:NTH393257 NJL393252:NJL393257 MZP393252:MZP393257 MPT393252:MPT393257 MFX393252:MFX393257 LWB393252:LWB393257 LMF393252:LMF393257 LCJ393252:LCJ393257 KSN393252:KSN393257 KIR393252:KIR393257 JYV393252:JYV393257 JOZ393252:JOZ393257 JFD393252:JFD393257 IVH393252:IVH393257 ILL393252:ILL393257 IBP393252:IBP393257 HRT393252:HRT393257 HHX393252:HHX393257 GYB393252:GYB393257 GOF393252:GOF393257 GEJ393252:GEJ393257 FUN393252:FUN393257 FKR393252:FKR393257 FAV393252:FAV393257 EQZ393252:EQZ393257 EHD393252:EHD393257 DXH393252:DXH393257 DNL393252:DNL393257 DDP393252:DDP393257 CTT393252:CTT393257 CJX393252:CJX393257 CAB393252:CAB393257 BQF393252:BQF393257 BGJ393252:BGJ393257 AWN393252:AWN393257 AMR393252:AMR393257 ACV393252:ACV393257 SZ393252:SZ393257 JD393252:JD393257 H393252:H393257 WVP327716:WVP327721 WLT327716:WLT327721 WBX327716:WBX327721 VSB327716:VSB327721 VIF327716:VIF327721 UYJ327716:UYJ327721 UON327716:UON327721 UER327716:UER327721 TUV327716:TUV327721 TKZ327716:TKZ327721 TBD327716:TBD327721 SRH327716:SRH327721 SHL327716:SHL327721 RXP327716:RXP327721 RNT327716:RNT327721 RDX327716:RDX327721 QUB327716:QUB327721 QKF327716:QKF327721 QAJ327716:QAJ327721 PQN327716:PQN327721 PGR327716:PGR327721 OWV327716:OWV327721 OMZ327716:OMZ327721 ODD327716:ODD327721 NTH327716:NTH327721 NJL327716:NJL327721 MZP327716:MZP327721 MPT327716:MPT327721 MFX327716:MFX327721 LWB327716:LWB327721 LMF327716:LMF327721 LCJ327716:LCJ327721 KSN327716:KSN327721 KIR327716:KIR327721 JYV327716:JYV327721 JOZ327716:JOZ327721 JFD327716:JFD327721 IVH327716:IVH327721 ILL327716:ILL327721 IBP327716:IBP327721 HRT327716:HRT327721 HHX327716:HHX327721 GYB327716:GYB327721 GOF327716:GOF327721 GEJ327716:GEJ327721 FUN327716:FUN327721 FKR327716:FKR327721 FAV327716:FAV327721 EQZ327716:EQZ327721 EHD327716:EHD327721 DXH327716:DXH327721 DNL327716:DNL327721 DDP327716:DDP327721 CTT327716:CTT327721 CJX327716:CJX327721 CAB327716:CAB327721 BQF327716:BQF327721 BGJ327716:BGJ327721 AWN327716:AWN327721 AMR327716:AMR327721 ACV327716:ACV327721 SZ327716:SZ327721 JD327716:JD327721 H327716:H327721 WVP262180:WVP262185 WLT262180:WLT262185 WBX262180:WBX262185 VSB262180:VSB262185 VIF262180:VIF262185 UYJ262180:UYJ262185 UON262180:UON262185 UER262180:UER262185 TUV262180:TUV262185 TKZ262180:TKZ262185 TBD262180:TBD262185 SRH262180:SRH262185 SHL262180:SHL262185 RXP262180:RXP262185 RNT262180:RNT262185 RDX262180:RDX262185 QUB262180:QUB262185 QKF262180:QKF262185 QAJ262180:QAJ262185 PQN262180:PQN262185 PGR262180:PGR262185 OWV262180:OWV262185 OMZ262180:OMZ262185 ODD262180:ODD262185 NTH262180:NTH262185 NJL262180:NJL262185 MZP262180:MZP262185 MPT262180:MPT262185 MFX262180:MFX262185 LWB262180:LWB262185 LMF262180:LMF262185 LCJ262180:LCJ262185 KSN262180:KSN262185 KIR262180:KIR262185 JYV262180:JYV262185 JOZ262180:JOZ262185 JFD262180:JFD262185 IVH262180:IVH262185 ILL262180:ILL262185 IBP262180:IBP262185 HRT262180:HRT262185 HHX262180:HHX262185 GYB262180:GYB262185 GOF262180:GOF262185 GEJ262180:GEJ262185 FUN262180:FUN262185 FKR262180:FKR262185 FAV262180:FAV262185 EQZ262180:EQZ262185 EHD262180:EHD262185 DXH262180:DXH262185 DNL262180:DNL262185 DDP262180:DDP262185 CTT262180:CTT262185 CJX262180:CJX262185 CAB262180:CAB262185 BQF262180:BQF262185 BGJ262180:BGJ262185 AWN262180:AWN262185 AMR262180:AMR262185 ACV262180:ACV262185 SZ262180:SZ262185 JD262180:JD262185 H262180:H262185 WVP196644:WVP196649 WLT196644:WLT196649 WBX196644:WBX196649 VSB196644:VSB196649 VIF196644:VIF196649 UYJ196644:UYJ196649 UON196644:UON196649 UER196644:UER196649 TUV196644:TUV196649 TKZ196644:TKZ196649 TBD196644:TBD196649 SRH196644:SRH196649 SHL196644:SHL196649 RXP196644:RXP196649 RNT196644:RNT196649 RDX196644:RDX196649 QUB196644:QUB196649 QKF196644:QKF196649 QAJ196644:QAJ196649 PQN196644:PQN196649 PGR196644:PGR196649 OWV196644:OWV196649 OMZ196644:OMZ196649 ODD196644:ODD196649 NTH196644:NTH196649 NJL196644:NJL196649 MZP196644:MZP196649 MPT196644:MPT196649 MFX196644:MFX196649 LWB196644:LWB196649 LMF196644:LMF196649 LCJ196644:LCJ196649 KSN196644:KSN196649 KIR196644:KIR196649 JYV196644:JYV196649 JOZ196644:JOZ196649 JFD196644:JFD196649 IVH196644:IVH196649 ILL196644:ILL196649 IBP196644:IBP196649 HRT196644:HRT196649 HHX196644:HHX196649 GYB196644:GYB196649 GOF196644:GOF196649 GEJ196644:GEJ196649 FUN196644:FUN196649 FKR196644:FKR196649 FAV196644:FAV196649 EQZ196644:EQZ196649 EHD196644:EHD196649 DXH196644:DXH196649 DNL196644:DNL196649 DDP196644:DDP196649 CTT196644:CTT196649 CJX196644:CJX196649 CAB196644:CAB196649 BQF196644:BQF196649 BGJ196644:BGJ196649 AWN196644:AWN196649 AMR196644:AMR196649 ACV196644:ACV196649 SZ196644:SZ196649 JD196644:JD196649 H196644:H196649 WVP131108:WVP131113 WLT131108:WLT131113 WBX131108:WBX131113 VSB131108:VSB131113 VIF131108:VIF131113 UYJ131108:UYJ131113 UON131108:UON131113 UER131108:UER131113 TUV131108:TUV131113 TKZ131108:TKZ131113 TBD131108:TBD131113 SRH131108:SRH131113 SHL131108:SHL131113 RXP131108:RXP131113 RNT131108:RNT131113 RDX131108:RDX131113 QUB131108:QUB131113 QKF131108:QKF131113 QAJ131108:QAJ131113 PQN131108:PQN131113 PGR131108:PGR131113 OWV131108:OWV131113 OMZ131108:OMZ131113 ODD131108:ODD131113 NTH131108:NTH131113 NJL131108:NJL131113 MZP131108:MZP131113 MPT131108:MPT131113 MFX131108:MFX131113 LWB131108:LWB131113 LMF131108:LMF131113 LCJ131108:LCJ131113 KSN131108:KSN131113 KIR131108:KIR131113 JYV131108:JYV131113 JOZ131108:JOZ131113 JFD131108:JFD131113 IVH131108:IVH131113 ILL131108:ILL131113 IBP131108:IBP131113 HRT131108:HRT131113 HHX131108:HHX131113 GYB131108:GYB131113 GOF131108:GOF131113 GEJ131108:GEJ131113 FUN131108:FUN131113 FKR131108:FKR131113 FAV131108:FAV131113 EQZ131108:EQZ131113 EHD131108:EHD131113 DXH131108:DXH131113 DNL131108:DNL131113 DDP131108:DDP131113 CTT131108:CTT131113 CJX131108:CJX131113 CAB131108:CAB131113 BQF131108:BQF131113 BGJ131108:BGJ131113 AWN131108:AWN131113 AMR131108:AMR131113 ACV131108:ACV131113 SZ131108:SZ131113 JD131108:JD131113 H131108:H131113 WVP65572:WVP65577 WLT65572:WLT65577 WBX65572:WBX65577 VSB65572:VSB65577 VIF65572:VIF65577 UYJ65572:UYJ65577 UON65572:UON65577 UER65572:UER65577 TUV65572:TUV65577 TKZ65572:TKZ65577 TBD65572:TBD65577 SRH65572:SRH65577 SHL65572:SHL65577 RXP65572:RXP65577 RNT65572:RNT65577 RDX65572:RDX65577 QUB65572:QUB65577 QKF65572:QKF65577 QAJ65572:QAJ65577 PQN65572:PQN65577 PGR65572:PGR65577 OWV65572:OWV65577 OMZ65572:OMZ65577 ODD65572:ODD65577 NTH65572:NTH65577 NJL65572:NJL65577 MZP65572:MZP65577 MPT65572:MPT65577 MFX65572:MFX65577 LWB65572:LWB65577 LMF65572:LMF65577 LCJ65572:LCJ65577 KSN65572:KSN65577 KIR65572:KIR65577 JYV65572:JYV65577 JOZ65572:JOZ65577 JFD65572:JFD65577 IVH65572:IVH65577 ILL65572:ILL65577 IBP65572:IBP65577 HRT65572:HRT65577 HHX65572:HHX65577 GYB65572:GYB65577 GOF65572:GOF65577 GEJ65572:GEJ65577 FUN65572:FUN65577 FKR65572:FKR65577 FAV65572:FAV65577 EQZ65572:EQZ65577 EHD65572:EHD65577 DXH65572:DXH65577 DNL65572:DNL65577 DDP65572:DDP65577 CTT65572:CTT65577 CJX65572:CJX65577 CAB65572:CAB65577 BQF65572:BQF65577 BGJ65572:BGJ65577 AWN65572:AWN65577 AMR65572:AMR65577 ACV65572:ACV65577 SZ65572:SZ65577 JD65572:JD65577 H65572:H65577 WVP19:WVP24 WLT19:WLT24 WBX19:WBX24 VSB19:VSB24 VIF19:VIF24 UYJ19:UYJ24 UON19:UON24 UER19:UER24 TUV19:TUV24 TKZ19:TKZ24 TBD19:TBD24 SRH19:SRH24 SHL19:SHL24 RXP19:RXP24 RNT19:RNT24 RDX19:RDX24 QUB19:QUB24 QKF19:QKF24 QAJ19:QAJ24 PQN19:PQN24 PGR19:PGR24 OWV19:OWV24 OMZ19:OMZ24 ODD19:ODD24 NTH19:NTH24 NJL19:NJL24 MZP19:MZP24 MPT19:MPT24 MFX19:MFX24 LWB19:LWB24 LMF19:LMF24 LCJ19:LCJ24 KSN19:KSN24 KIR19:KIR24 JYV19:JYV24 JOZ19:JOZ24 JFD19:JFD24 IVH19:IVH24 ILL19:ILL24 IBP19:IBP24 HRT19:HRT24 HHX19:HHX24 GYB19:GYB24 GOF19:GOF24 GEJ19:GEJ24 FUN19:FUN24 FKR19:FKR24 FAV19:FAV24 EQZ19:EQZ24 EHD19:EHD24 DXH19:DXH24 DNL19:DNL24 DDP19:DDP24 CTT19:CTT24 CJX19:CJX24 CAB19:CAB24 BQF19:BQF24 BGJ19:BGJ24 AWN19:AWN24 AMR19:AMR24 ACV19:ACV24 SZ19:SZ24 JD19:JD24 H19:H24 WVQ983159 WLU983159 WBY983159 VSC983159 VIG983159 UYK983159 UOO983159 UES983159 TUW983159 TLA983159 TBE983159 SRI983159 SHM983159 RXQ983159 RNU983159 RDY983159 QUC983159 QKG983159 QAK983159 PQO983159 PGS983159 OWW983159 ONA983159 ODE983159 NTI983159 NJM983159 MZQ983159 MPU983159 MFY983159 LWC983159 LMG983159 LCK983159 KSO983159 KIS983159 JYW983159 JPA983159 JFE983159 IVI983159 ILM983159 IBQ983159 HRU983159 HHY983159 GYC983159 GOG983159 GEK983159 FUO983159 FKS983159 FAW983159 ERA983159 EHE983159 DXI983159 DNM983159 DDQ983159 CTU983159 CJY983159 CAC983159 BQG983159 BGK983159 AWO983159 AMS983159 ACW983159 TA983159 JE983159 I983159 WVQ917623 WLU917623 WBY917623 VSC917623 VIG917623 UYK917623 UOO917623 UES917623 TUW917623 TLA917623 TBE917623 SRI917623 SHM917623 RXQ917623 RNU917623 RDY917623 QUC917623 QKG917623 QAK917623 PQO917623 PGS917623 OWW917623 ONA917623 ODE917623 NTI917623 NJM917623 MZQ917623 MPU917623 MFY917623 LWC917623 LMG917623 LCK917623 KSO917623 KIS917623 JYW917623 JPA917623 JFE917623 IVI917623 ILM917623 IBQ917623 HRU917623 HHY917623 GYC917623 GOG917623 GEK917623 FUO917623 FKS917623 FAW917623 ERA917623 EHE917623 DXI917623 DNM917623 DDQ917623 CTU917623 CJY917623 CAC917623 BQG917623 BGK917623 AWO917623 AMS917623 ACW917623 TA917623 JE917623 I917623 WVQ852087 WLU852087 WBY852087 VSC852087 VIG852087 UYK852087 UOO852087 UES852087 TUW852087 TLA852087 TBE852087 SRI852087 SHM852087 RXQ852087 RNU852087 RDY852087 QUC852087 QKG852087 QAK852087 PQO852087 PGS852087 OWW852087 ONA852087 ODE852087 NTI852087 NJM852087 MZQ852087 MPU852087 MFY852087 LWC852087 LMG852087 LCK852087 KSO852087 KIS852087 JYW852087 JPA852087 JFE852087 IVI852087 ILM852087 IBQ852087 HRU852087 HHY852087 GYC852087 GOG852087 GEK852087 FUO852087 FKS852087 FAW852087 ERA852087 EHE852087 DXI852087 DNM852087 DDQ852087 CTU852087 CJY852087 CAC852087 BQG852087 BGK852087 AWO852087 AMS852087 ACW852087 TA852087 JE852087 I852087 WVQ786551 WLU786551 WBY786551 VSC786551 VIG786551 UYK786551 UOO786551 UES786551 TUW786551 TLA786551 TBE786551 SRI786551 SHM786551 RXQ786551 RNU786551 RDY786551 QUC786551 QKG786551 QAK786551 PQO786551 PGS786551 OWW786551 ONA786551 ODE786551 NTI786551 NJM786551 MZQ786551 MPU786551 MFY786551 LWC786551 LMG786551 LCK786551 KSO786551 KIS786551 JYW786551 JPA786551 JFE786551 IVI786551 ILM786551 IBQ786551 HRU786551 HHY786551 GYC786551 GOG786551 GEK786551 FUO786551 FKS786551 FAW786551 ERA786551 EHE786551 DXI786551 DNM786551 DDQ786551 CTU786551 CJY786551 CAC786551 BQG786551 BGK786551 AWO786551 AMS786551 ACW786551 TA786551 JE786551 I786551 WVQ721015 WLU721015 WBY721015 VSC721015 VIG721015 UYK721015 UOO721015 UES721015 TUW721015 TLA721015 TBE721015 SRI721015 SHM721015 RXQ721015 RNU721015 RDY721015 QUC721015 QKG721015 QAK721015 PQO721015 PGS721015 OWW721015 ONA721015 ODE721015 NTI721015 NJM721015 MZQ721015 MPU721015 MFY721015 LWC721015 LMG721015 LCK721015 KSO721015 KIS721015 JYW721015 JPA721015 JFE721015 IVI721015 ILM721015 IBQ721015 HRU721015 HHY721015 GYC721015 GOG721015 GEK721015 FUO721015 FKS721015 FAW721015 ERA721015 EHE721015 DXI721015 DNM721015 DDQ721015 CTU721015 CJY721015 CAC721015 BQG721015 BGK721015 AWO721015 AMS721015 ACW721015 TA721015 JE721015 I721015 WVQ655479 WLU655479 WBY655479 VSC655479 VIG655479 UYK655479 UOO655479 UES655479 TUW655479 TLA655479 TBE655479 SRI655479 SHM655479 RXQ655479 RNU655479 RDY655479 QUC655479 QKG655479 QAK655479 PQO655479 PGS655479 OWW655479 ONA655479 ODE655479 NTI655479 NJM655479 MZQ655479 MPU655479 MFY655479 LWC655479 LMG655479 LCK655479 KSO655479 KIS655479 JYW655479 JPA655479 JFE655479 IVI655479 ILM655479 IBQ655479 HRU655479 HHY655479 GYC655479 GOG655479 GEK655479 FUO655479 FKS655479 FAW655479 ERA655479 EHE655479 DXI655479 DNM655479 DDQ655479 CTU655479 CJY655479 CAC655479 BQG655479 BGK655479 AWO655479 AMS655479 ACW655479 TA655479 JE655479 I655479 WVQ589943 WLU589943 WBY589943 VSC589943 VIG589943 UYK589943 UOO589943 UES589943 TUW589943 TLA589943 TBE589943 SRI589943 SHM589943 RXQ589943 RNU589943 RDY589943 QUC589943 QKG589943 QAK589943 PQO589943 PGS589943 OWW589943 ONA589943 ODE589943 NTI589943 NJM589943 MZQ589943 MPU589943 MFY589943 LWC589943 LMG589943 LCK589943 KSO589943 KIS589943 JYW589943 JPA589943 JFE589943 IVI589943 ILM589943 IBQ589943 HRU589943 HHY589943 GYC589943 GOG589943 GEK589943 FUO589943 FKS589943 FAW589943 ERA589943 EHE589943 DXI589943 DNM589943 DDQ589943 CTU589943 CJY589943 CAC589943 BQG589943 BGK589943 AWO589943 AMS589943 ACW589943 TA589943 JE589943 I589943 WVQ524407 WLU524407 WBY524407 VSC524407 VIG524407 UYK524407 UOO524407 UES524407 TUW524407 TLA524407 TBE524407 SRI524407 SHM524407 RXQ524407 RNU524407 RDY524407 QUC524407 QKG524407 QAK524407 PQO524407 PGS524407 OWW524407 ONA524407 ODE524407 NTI524407 NJM524407 MZQ524407 MPU524407 MFY524407 LWC524407 LMG524407 LCK524407 KSO524407 KIS524407 JYW524407 JPA524407 JFE524407 IVI524407 ILM524407 IBQ524407 HRU524407 HHY524407 GYC524407 GOG524407 GEK524407 FUO524407 FKS524407 FAW524407 ERA524407 EHE524407 DXI524407 DNM524407 DDQ524407 CTU524407 CJY524407 CAC524407 BQG524407 BGK524407 AWO524407 AMS524407 ACW524407 TA524407 JE524407 I524407 WVQ458871 WLU458871 WBY458871 VSC458871 VIG458871 UYK458871 UOO458871 UES458871 TUW458871 TLA458871 TBE458871 SRI458871 SHM458871 RXQ458871 RNU458871 RDY458871 QUC458871 QKG458871 QAK458871 PQO458871 PGS458871 OWW458871 ONA458871 ODE458871 NTI458871 NJM458871 MZQ458871 MPU458871 MFY458871 LWC458871 LMG458871 LCK458871 KSO458871 KIS458871 JYW458871 JPA458871 JFE458871 IVI458871 ILM458871 IBQ458871 HRU458871 HHY458871 GYC458871 GOG458871 GEK458871 FUO458871 FKS458871 FAW458871 ERA458871 EHE458871 DXI458871 DNM458871 DDQ458871 CTU458871 CJY458871 CAC458871 BQG458871 BGK458871 AWO458871 AMS458871 ACW458871 TA458871 JE458871 I458871 WVQ393335 WLU393335 WBY393335 VSC393335 VIG393335 UYK393335 UOO393335 UES393335 TUW393335 TLA393335 TBE393335 SRI393335 SHM393335 RXQ393335 RNU393335 RDY393335 QUC393335 QKG393335 QAK393335 PQO393335 PGS393335 OWW393335 ONA393335 ODE393335 NTI393335 NJM393335 MZQ393335 MPU393335 MFY393335 LWC393335 LMG393335 LCK393335 KSO393335 KIS393335 JYW393335 JPA393335 JFE393335 IVI393335 ILM393335 IBQ393335 HRU393335 HHY393335 GYC393335 GOG393335 GEK393335 FUO393335 FKS393335 FAW393335 ERA393335 EHE393335 DXI393335 DNM393335 DDQ393335 CTU393335 CJY393335 CAC393335 BQG393335 BGK393335 AWO393335 AMS393335 ACW393335 TA393335 JE393335 I393335 WVQ327799 WLU327799 WBY327799 VSC327799 VIG327799 UYK327799 UOO327799 UES327799 TUW327799 TLA327799 TBE327799 SRI327799 SHM327799 RXQ327799 RNU327799 RDY327799 QUC327799 QKG327799 QAK327799 PQO327799 PGS327799 OWW327799 ONA327799 ODE327799 NTI327799 NJM327799 MZQ327799 MPU327799 MFY327799 LWC327799 LMG327799 LCK327799 KSO327799 KIS327799 JYW327799 JPA327799 JFE327799 IVI327799 ILM327799 IBQ327799 HRU327799 HHY327799 GYC327799 GOG327799 GEK327799 FUO327799 FKS327799 FAW327799 ERA327799 EHE327799 DXI327799 DNM327799 DDQ327799 CTU327799 CJY327799 CAC327799 BQG327799 BGK327799 AWO327799 AMS327799 ACW327799 TA327799 JE327799 I327799 WVQ262263 WLU262263 WBY262263 VSC262263 VIG262263 UYK262263 UOO262263 UES262263 TUW262263 TLA262263 TBE262263 SRI262263 SHM262263 RXQ262263 RNU262263 RDY262263 QUC262263 QKG262263 QAK262263 PQO262263 PGS262263 OWW262263 ONA262263 ODE262263 NTI262263 NJM262263 MZQ262263 MPU262263 MFY262263 LWC262263 LMG262263 LCK262263 KSO262263 KIS262263 JYW262263 JPA262263 JFE262263 IVI262263 ILM262263 IBQ262263 HRU262263 HHY262263 GYC262263 GOG262263 GEK262263 FUO262263 FKS262263 FAW262263 ERA262263 EHE262263 DXI262263 DNM262263 DDQ262263 CTU262263 CJY262263 CAC262263 BQG262263 BGK262263 AWO262263 AMS262263 ACW262263 TA262263 JE262263 I262263 WVQ196727 WLU196727 WBY196727 VSC196727 VIG196727 UYK196727 UOO196727 UES196727 TUW196727 TLA196727 TBE196727 SRI196727 SHM196727 RXQ196727 RNU196727 RDY196727 QUC196727 QKG196727 QAK196727 PQO196727 PGS196727 OWW196727 ONA196727 ODE196727 NTI196727 NJM196727 MZQ196727 MPU196727 MFY196727 LWC196727 LMG196727 LCK196727 KSO196727 KIS196727 JYW196727 JPA196727 JFE196727 IVI196727 ILM196727 IBQ196727 HRU196727 HHY196727 GYC196727 GOG196727 GEK196727 FUO196727 FKS196727 FAW196727 ERA196727 EHE196727 DXI196727 DNM196727 DDQ196727 CTU196727 CJY196727 CAC196727 BQG196727 BGK196727 AWO196727 AMS196727 ACW196727 TA196727 JE196727 I196727 WVQ131191 WLU131191 WBY131191 VSC131191 VIG131191 UYK131191 UOO131191 UES131191 TUW131191 TLA131191 TBE131191 SRI131191 SHM131191 RXQ131191 RNU131191 RDY131191 QUC131191 QKG131191 QAK131191 PQO131191 PGS131191 OWW131191 ONA131191 ODE131191 NTI131191 NJM131191 MZQ131191 MPU131191 MFY131191 LWC131191 LMG131191 LCK131191 KSO131191 KIS131191 JYW131191 JPA131191 JFE131191 IVI131191 ILM131191 IBQ131191 HRU131191 HHY131191 GYC131191 GOG131191 GEK131191 FUO131191 FKS131191 FAW131191 ERA131191 EHE131191 DXI131191 DNM131191 DDQ131191 CTU131191 CJY131191 CAC131191 BQG131191 BGK131191 AWO131191 AMS131191 ACW131191 TA131191 JE131191 I131191 WVQ65655 WLU65655 WBY65655 VSC65655 VIG65655 UYK65655 UOO65655 UES65655 TUW65655 TLA65655 TBE65655 SRI65655 SHM65655 RXQ65655 RNU65655 RDY65655 QUC65655 QKG65655 QAK65655 PQO65655 PGS65655 OWW65655 ONA65655 ODE65655 NTI65655 NJM65655 MZQ65655 MPU65655 MFY65655 LWC65655 LMG65655 LCK65655 KSO65655 KIS65655 JYW65655 JPA65655 JFE65655 IVI65655 ILM65655 IBQ65655 HRU65655 HHY65655 GYC65655 GOG65655 GEK65655 FUO65655 FKS65655 FAW65655 ERA65655 EHE65655 DXI65655 DNM65655 DDQ65655 CTU65655 CJY65655 CAC65655 BQG65655 BGK65655 AWO65655 AMS65655 ACW65655 TA65655 JE65655 I65655 WVQ113 WLU113 WBY113 VSC113 VIG113 UYK113 UOO113 UES113 TUW113 TLA113 TBE113 SRI113 SHM113 RXQ113 RNU113 RDY113 QUC113 QKG113 QAK113 PQO113 PGS113 OWW113 ONA113 ODE113 NTI113 NJM113 MZQ113 MPU113 MFY113 LWC113 LMG113 LCK113 KSO113 KIS113 JYW113 JPA113 JFE113 IVI113 ILM113 IBQ113 HRU113 HHY113 GYC113 GOG113 GEK113 FUO113 FKS113 FAW113 ERA113 EHE113 DXI113 DNM113 DDQ113 CTU113 CJY113 CAC113 BQG113 BGK113 AWO113 AMS113 ACW113 TA113 JE113 K1 K3" xr:uid="{00000000-0002-0000-0400-000008000000}">
      <formula1>$O$2:$O$4</formula1>
    </dataValidation>
    <dataValidation errorStyle="warning" operator="equal" allowBlank="1" showInputMessage="1" showErrorMessage="1" errorTitle="Does not Match earlier entry?" error="Please review the existing ML amount you included in Section 2 above" sqref="I97 JE97 TA97 ACW97 AMS97 AWO97 BGK97 BQG97 CAC97 CJY97 CTU97 DDQ97 DNM97 DXI97 EHE97 ERA97 FAW97 FKS97 FUO97 GEK97 GOG97 GYC97 HHY97 HRU97 IBQ97 ILM97 IVI97 JFE97 JPA97 JYW97 KIS97 KSO97 LCK97 LMG97 LWC97 MFY97 MPU97 MZQ97 NJM97 NTI97 ODE97 ONA97 OWW97 PGS97 PQO97 QAK97 QKG97 QUC97 RDY97 RNU97 RXQ97 SHM97 SRI97 TBE97 TLA97 TUW97 UES97 UOO97 UYK97 VIG97 VSC97 WBY97 WLU97 WVQ97 I65642 JE65642 TA65642 ACW65642 AMS65642 AWO65642 BGK65642 BQG65642 CAC65642 CJY65642 CTU65642 DDQ65642 DNM65642 DXI65642 EHE65642 ERA65642 FAW65642 FKS65642 FUO65642 GEK65642 GOG65642 GYC65642 HHY65642 HRU65642 IBQ65642 ILM65642 IVI65642 JFE65642 JPA65642 JYW65642 KIS65642 KSO65642 LCK65642 LMG65642 LWC65642 MFY65642 MPU65642 MZQ65642 NJM65642 NTI65642 ODE65642 ONA65642 OWW65642 PGS65642 PQO65642 QAK65642 QKG65642 QUC65642 RDY65642 RNU65642 RXQ65642 SHM65642 SRI65642 TBE65642 TLA65642 TUW65642 UES65642 UOO65642 UYK65642 VIG65642 VSC65642 WBY65642 WLU65642 WVQ65642 I131178 JE131178 TA131178 ACW131178 AMS131178 AWO131178 BGK131178 BQG131178 CAC131178 CJY131178 CTU131178 DDQ131178 DNM131178 DXI131178 EHE131178 ERA131178 FAW131178 FKS131178 FUO131178 GEK131178 GOG131178 GYC131178 HHY131178 HRU131178 IBQ131178 ILM131178 IVI131178 JFE131178 JPA131178 JYW131178 KIS131178 KSO131178 LCK131178 LMG131178 LWC131178 MFY131178 MPU131178 MZQ131178 NJM131178 NTI131178 ODE131178 ONA131178 OWW131178 PGS131178 PQO131178 QAK131178 QKG131178 QUC131178 RDY131178 RNU131178 RXQ131178 SHM131178 SRI131178 TBE131178 TLA131178 TUW131178 UES131178 UOO131178 UYK131178 VIG131178 VSC131178 WBY131178 WLU131178 WVQ131178 I196714 JE196714 TA196714 ACW196714 AMS196714 AWO196714 BGK196714 BQG196714 CAC196714 CJY196714 CTU196714 DDQ196714 DNM196714 DXI196714 EHE196714 ERA196714 FAW196714 FKS196714 FUO196714 GEK196714 GOG196714 GYC196714 HHY196714 HRU196714 IBQ196714 ILM196714 IVI196714 JFE196714 JPA196714 JYW196714 KIS196714 KSO196714 LCK196714 LMG196714 LWC196714 MFY196714 MPU196714 MZQ196714 NJM196714 NTI196714 ODE196714 ONA196714 OWW196714 PGS196714 PQO196714 QAK196714 QKG196714 QUC196714 RDY196714 RNU196714 RXQ196714 SHM196714 SRI196714 TBE196714 TLA196714 TUW196714 UES196714 UOO196714 UYK196714 VIG196714 VSC196714 WBY196714 WLU196714 WVQ196714 I262250 JE262250 TA262250 ACW262250 AMS262250 AWO262250 BGK262250 BQG262250 CAC262250 CJY262250 CTU262250 DDQ262250 DNM262250 DXI262250 EHE262250 ERA262250 FAW262250 FKS262250 FUO262250 GEK262250 GOG262250 GYC262250 HHY262250 HRU262250 IBQ262250 ILM262250 IVI262250 JFE262250 JPA262250 JYW262250 KIS262250 KSO262250 LCK262250 LMG262250 LWC262250 MFY262250 MPU262250 MZQ262250 NJM262250 NTI262250 ODE262250 ONA262250 OWW262250 PGS262250 PQO262250 QAK262250 QKG262250 QUC262250 RDY262250 RNU262250 RXQ262250 SHM262250 SRI262250 TBE262250 TLA262250 TUW262250 UES262250 UOO262250 UYK262250 VIG262250 VSC262250 WBY262250 WLU262250 WVQ262250 I327786 JE327786 TA327786 ACW327786 AMS327786 AWO327786 BGK327786 BQG327786 CAC327786 CJY327786 CTU327786 DDQ327786 DNM327786 DXI327786 EHE327786 ERA327786 FAW327786 FKS327786 FUO327786 GEK327786 GOG327786 GYC327786 HHY327786 HRU327786 IBQ327786 ILM327786 IVI327786 JFE327786 JPA327786 JYW327786 KIS327786 KSO327786 LCK327786 LMG327786 LWC327786 MFY327786 MPU327786 MZQ327786 NJM327786 NTI327786 ODE327786 ONA327786 OWW327786 PGS327786 PQO327786 QAK327786 QKG327786 QUC327786 RDY327786 RNU327786 RXQ327786 SHM327786 SRI327786 TBE327786 TLA327786 TUW327786 UES327786 UOO327786 UYK327786 VIG327786 VSC327786 WBY327786 WLU327786 WVQ327786 I393322 JE393322 TA393322 ACW393322 AMS393322 AWO393322 BGK393322 BQG393322 CAC393322 CJY393322 CTU393322 DDQ393322 DNM393322 DXI393322 EHE393322 ERA393322 FAW393322 FKS393322 FUO393322 GEK393322 GOG393322 GYC393322 HHY393322 HRU393322 IBQ393322 ILM393322 IVI393322 JFE393322 JPA393322 JYW393322 KIS393322 KSO393322 LCK393322 LMG393322 LWC393322 MFY393322 MPU393322 MZQ393322 NJM393322 NTI393322 ODE393322 ONA393322 OWW393322 PGS393322 PQO393322 QAK393322 QKG393322 QUC393322 RDY393322 RNU393322 RXQ393322 SHM393322 SRI393322 TBE393322 TLA393322 TUW393322 UES393322 UOO393322 UYK393322 VIG393322 VSC393322 WBY393322 WLU393322 WVQ393322 I458858 JE458858 TA458858 ACW458858 AMS458858 AWO458858 BGK458858 BQG458858 CAC458858 CJY458858 CTU458858 DDQ458858 DNM458858 DXI458858 EHE458858 ERA458858 FAW458858 FKS458858 FUO458858 GEK458858 GOG458858 GYC458858 HHY458858 HRU458858 IBQ458858 ILM458858 IVI458858 JFE458858 JPA458858 JYW458858 KIS458858 KSO458858 LCK458858 LMG458858 LWC458858 MFY458858 MPU458858 MZQ458858 NJM458858 NTI458858 ODE458858 ONA458858 OWW458858 PGS458858 PQO458858 QAK458858 QKG458858 QUC458858 RDY458858 RNU458858 RXQ458858 SHM458858 SRI458858 TBE458858 TLA458858 TUW458858 UES458858 UOO458858 UYK458858 VIG458858 VSC458858 WBY458858 WLU458858 WVQ458858 I524394 JE524394 TA524394 ACW524394 AMS524394 AWO524394 BGK524394 BQG524394 CAC524394 CJY524394 CTU524394 DDQ524394 DNM524394 DXI524394 EHE524394 ERA524394 FAW524394 FKS524394 FUO524394 GEK524394 GOG524394 GYC524394 HHY524394 HRU524394 IBQ524394 ILM524394 IVI524394 JFE524394 JPA524394 JYW524394 KIS524394 KSO524394 LCK524394 LMG524394 LWC524394 MFY524394 MPU524394 MZQ524394 NJM524394 NTI524394 ODE524394 ONA524394 OWW524394 PGS524394 PQO524394 QAK524394 QKG524394 QUC524394 RDY524394 RNU524394 RXQ524394 SHM524394 SRI524394 TBE524394 TLA524394 TUW524394 UES524394 UOO524394 UYK524394 VIG524394 VSC524394 WBY524394 WLU524394 WVQ524394 I589930 JE589930 TA589930 ACW589930 AMS589930 AWO589930 BGK589930 BQG589930 CAC589930 CJY589930 CTU589930 DDQ589930 DNM589930 DXI589930 EHE589930 ERA589930 FAW589930 FKS589930 FUO589930 GEK589930 GOG589930 GYC589930 HHY589930 HRU589930 IBQ589930 ILM589930 IVI589930 JFE589930 JPA589930 JYW589930 KIS589930 KSO589930 LCK589930 LMG589930 LWC589930 MFY589930 MPU589930 MZQ589930 NJM589930 NTI589930 ODE589930 ONA589930 OWW589930 PGS589930 PQO589930 QAK589930 QKG589930 QUC589930 RDY589930 RNU589930 RXQ589930 SHM589930 SRI589930 TBE589930 TLA589930 TUW589930 UES589930 UOO589930 UYK589930 VIG589930 VSC589930 WBY589930 WLU589930 WVQ589930 I655466 JE655466 TA655466 ACW655466 AMS655466 AWO655466 BGK655466 BQG655466 CAC655466 CJY655466 CTU655466 DDQ655466 DNM655466 DXI655466 EHE655466 ERA655466 FAW655466 FKS655466 FUO655466 GEK655466 GOG655466 GYC655466 HHY655466 HRU655466 IBQ655466 ILM655466 IVI655466 JFE655466 JPA655466 JYW655466 KIS655466 KSO655466 LCK655466 LMG655466 LWC655466 MFY655466 MPU655466 MZQ655466 NJM655466 NTI655466 ODE655466 ONA655466 OWW655466 PGS655466 PQO655466 QAK655466 QKG655466 QUC655466 RDY655466 RNU655466 RXQ655466 SHM655466 SRI655466 TBE655466 TLA655466 TUW655466 UES655466 UOO655466 UYK655466 VIG655466 VSC655466 WBY655466 WLU655466 WVQ655466 I721002 JE721002 TA721002 ACW721002 AMS721002 AWO721002 BGK721002 BQG721002 CAC721002 CJY721002 CTU721002 DDQ721002 DNM721002 DXI721002 EHE721002 ERA721002 FAW721002 FKS721002 FUO721002 GEK721002 GOG721002 GYC721002 HHY721002 HRU721002 IBQ721002 ILM721002 IVI721002 JFE721002 JPA721002 JYW721002 KIS721002 KSO721002 LCK721002 LMG721002 LWC721002 MFY721002 MPU721002 MZQ721002 NJM721002 NTI721002 ODE721002 ONA721002 OWW721002 PGS721002 PQO721002 QAK721002 QKG721002 QUC721002 RDY721002 RNU721002 RXQ721002 SHM721002 SRI721002 TBE721002 TLA721002 TUW721002 UES721002 UOO721002 UYK721002 VIG721002 VSC721002 WBY721002 WLU721002 WVQ721002 I786538 JE786538 TA786538 ACW786538 AMS786538 AWO786538 BGK786538 BQG786538 CAC786538 CJY786538 CTU786538 DDQ786538 DNM786538 DXI786538 EHE786538 ERA786538 FAW786538 FKS786538 FUO786538 GEK786538 GOG786538 GYC786538 HHY786538 HRU786538 IBQ786538 ILM786538 IVI786538 JFE786538 JPA786538 JYW786538 KIS786538 KSO786538 LCK786538 LMG786538 LWC786538 MFY786538 MPU786538 MZQ786538 NJM786538 NTI786538 ODE786538 ONA786538 OWW786538 PGS786538 PQO786538 QAK786538 QKG786538 QUC786538 RDY786538 RNU786538 RXQ786538 SHM786538 SRI786538 TBE786538 TLA786538 TUW786538 UES786538 UOO786538 UYK786538 VIG786538 VSC786538 WBY786538 WLU786538 WVQ786538 I852074 JE852074 TA852074 ACW852074 AMS852074 AWO852074 BGK852074 BQG852074 CAC852074 CJY852074 CTU852074 DDQ852074 DNM852074 DXI852074 EHE852074 ERA852074 FAW852074 FKS852074 FUO852074 GEK852074 GOG852074 GYC852074 HHY852074 HRU852074 IBQ852074 ILM852074 IVI852074 JFE852074 JPA852074 JYW852074 KIS852074 KSO852074 LCK852074 LMG852074 LWC852074 MFY852074 MPU852074 MZQ852074 NJM852074 NTI852074 ODE852074 ONA852074 OWW852074 PGS852074 PQO852074 QAK852074 QKG852074 QUC852074 RDY852074 RNU852074 RXQ852074 SHM852074 SRI852074 TBE852074 TLA852074 TUW852074 UES852074 UOO852074 UYK852074 VIG852074 VSC852074 WBY852074 WLU852074 WVQ852074 I917610 JE917610 TA917610 ACW917610 AMS917610 AWO917610 BGK917610 BQG917610 CAC917610 CJY917610 CTU917610 DDQ917610 DNM917610 DXI917610 EHE917610 ERA917610 FAW917610 FKS917610 FUO917610 GEK917610 GOG917610 GYC917610 HHY917610 HRU917610 IBQ917610 ILM917610 IVI917610 JFE917610 JPA917610 JYW917610 KIS917610 KSO917610 LCK917610 LMG917610 LWC917610 MFY917610 MPU917610 MZQ917610 NJM917610 NTI917610 ODE917610 ONA917610 OWW917610 PGS917610 PQO917610 QAK917610 QKG917610 QUC917610 RDY917610 RNU917610 RXQ917610 SHM917610 SRI917610 TBE917610 TLA917610 TUW917610 UES917610 UOO917610 UYK917610 VIG917610 VSC917610 WBY917610 WLU917610 WVQ917610 I983146 JE983146 TA983146 ACW983146 AMS983146 AWO983146 BGK983146 BQG983146 CAC983146 CJY983146 CTU983146 DDQ983146 DNM983146 DXI983146 EHE983146 ERA983146 FAW983146 FKS983146 FUO983146 GEK983146 GOG983146 GYC983146 HHY983146 HRU983146 IBQ983146 ILM983146 IVI983146 JFE983146 JPA983146 JYW983146 KIS983146 KSO983146 LCK983146 LMG983146 LWC983146 MFY983146 MPU983146 MZQ983146 NJM983146 NTI983146 ODE983146 ONA983146 OWW983146 PGS983146 PQO983146 QAK983146 QKG983146 QUC983146 RDY983146 RNU983146 RXQ983146 SHM983146 SRI983146 TBE983146 TLA983146 TUW983146 UES983146 UOO983146 UYK983146 VIG983146 VSC983146 WBY983146 WLU983146 WVQ983146" xr:uid="{00000000-0002-0000-0400-000009000000}"/>
    <dataValidation allowBlank="1" showErrorMessage="1" errorTitle="Invalid Loan Term" error="Loan Term is outside of Policy._x000a_Please enter a term between 1 &amp; 35 years depending on the applicant's age" sqref="I101 JE101 TA101 ACW101 AMS101 AWO101 BGK101 BQG101 CAC101 CJY101 CTU101 DDQ101 DNM101 DXI101 EHE101 ERA101 FAW101 FKS101 FUO101 GEK101 GOG101 GYC101 HHY101 HRU101 IBQ101 ILM101 IVI101 JFE101 JPA101 JYW101 KIS101 KSO101 LCK101 LMG101 LWC101 MFY101 MPU101 MZQ101 NJM101 NTI101 ODE101 ONA101 OWW101 PGS101 PQO101 QAK101 QKG101 QUC101 RDY101 RNU101 RXQ101 SHM101 SRI101 TBE101 TLA101 TUW101 UES101 UOO101 UYK101 VIG101 VSC101 WBY101 WLU101 WVQ101 I65646 JE65646 TA65646 ACW65646 AMS65646 AWO65646 BGK65646 BQG65646 CAC65646 CJY65646 CTU65646 DDQ65646 DNM65646 DXI65646 EHE65646 ERA65646 FAW65646 FKS65646 FUO65646 GEK65646 GOG65646 GYC65646 HHY65646 HRU65646 IBQ65646 ILM65646 IVI65646 JFE65646 JPA65646 JYW65646 KIS65646 KSO65646 LCK65646 LMG65646 LWC65646 MFY65646 MPU65646 MZQ65646 NJM65646 NTI65646 ODE65646 ONA65646 OWW65646 PGS65646 PQO65646 QAK65646 QKG65646 QUC65646 RDY65646 RNU65646 RXQ65646 SHM65646 SRI65646 TBE65646 TLA65646 TUW65646 UES65646 UOO65646 UYK65646 VIG65646 VSC65646 WBY65646 WLU65646 WVQ65646 I131182 JE131182 TA131182 ACW131182 AMS131182 AWO131182 BGK131182 BQG131182 CAC131182 CJY131182 CTU131182 DDQ131182 DNM131182 DXI131182 EHE131182 ERA131182 FAW131182 FKS131182 FUO131182 GEK131182 GOG131182 GYC131182 HHY131182 HRU131182 IBQ131182 ILM131182 IVI131182 JFE131182 JPA131182 JYW131182 KIS131182 KSO131182 LCK131182 LMG131182 LWC131182 MFY131182 MPU131182 MZQ131182 NJM131182 NTI131182 ODE131182 ONA131182 OWW131182 PGS131182 PQO131182 QAK131182 QKG131182 QUC131182 RDY131182 RNU131182 RXQ131182 SHM131182 SRI131182 TBE131182 TLA131182 TUW131182 UES131182 UOO131182 UYK131182 VIG131182 VSC131182 WBY131182 WLU131182 WVQ131182 I196718 JE196718 TA196718 ACW196718 AMS196718 AWO196718 BGK196718 BQG196718 CAC196718 CJY196718 CTU196718 DDQ196718 DNM196718 DXI196718 EHE196718 ERA196718 FAW196718 FKS196718 FUO196718 GEK196718 GOG196718 GYC196718 HHY196718 HRU196718 IBQ196718 ILM196718 IVI196718 JFE196718 JPA196718 JYW196718 KIS196718 KSO196718 LCK196718 LMG196718 LWC196718 MFY196718 MPU196718 MZQ196718 NJM196718 NTI196718 ODE196718 ONA196718 OWW196718 PGS196718 PQO196718 QAK196718 QKG196718 QUC196718 RDY196718 RNU196718 RXQ196718 SHM196718 SRI196718 TBE196718 TLA196718 TUW196718 UES196718 UOO196718 UYK196718 VIG196718 VSC196718 WBY196718 WLU196718 WVQ196718 I262254 JE262254 TA262254 ACW262254 AMS262254 AWO262254 BGK262254 BQG262254 CAC262254 CJY262254 CTU262254 DDQ262254 DNM262254 DXI262254 EHE262254 ERA262254 FAW262254 FKS262254 FUO262254 GEK262254 GOG262254 GYC262254 HHY262254 HRU262254 IBQ262254 ILM262254 IVI262254 JFE262254 JPA262254 JYW262254 KIS262254 KSO262254 LCK262254 LMG262254 LWC262254 MFY262254 MPU262254 MZQ262254 NJM262254 NTI262254 ODE262254 ONA262254 OWW262254 PGS262254 PQO262254 QAK262254 QKG262254 QUC262254 RDY262254 RNU262254 RXQ262254 SHM262254 SRI262254 TBE262254 TLA262254 TUW262254 UES262254 UOO262254 UYK262254 VIG262254 VSC262254 WBY262254 WLU262254 WVQ262254 I327790 JE327790 TA327790 ACW327790 AMS327790 AWO327790 BGK327790 BQG327790 CAC327790 CJY327790 CTU327790 DDQ327790 DNM327790 DXI327790 EHE327790 ERA327790 FAW327790 FKS327790 FUO327790 GEK327790 GOG327790 GYC327790 HHY327790 HRU327790 IBQ327790 ILM327790 IVI327790 JFE327790 JPA327790 JYW327790 KIS327790 KSO327790 LCK327790 LMG327790 LWC327790 MFY327790 MPU327790 MZQ327790 NJM327790 NTI327790 ODE327790 ONA327790 OWW327790 PGS327790 PQO327790 QAK327790 QKG327790 QUC327790 RDY327790 RNU327790 RXQ327790 SHM327790 SRI327790 TBE327790 TLA327790 TUW327790 UES327790 UOO327790 UYK327790 VIG327790 VSC327790 WBY327790 WLU327790 WVQ327790 I393326 JE393326 TA393326 ACW393326 AMS393326 AWO393326 BGK393326 BQG393326 CAC393326 CJY393326 CTU393326 DDQ393326 DNM393326 DXI393326 EHE393326 ERA393326 FAW393326 FKS393326 FUO393326 GEK393326 GOG393326 GYC393326 HHY393326 HRU393326 IBQ393326 ILM393326 IVI393326 JFE393326 JPA393326 JYW393326 KIS393326 KSO393326 LCK393326 LMG393326 LWC393326 MFY393326 MPU393326 MZQ393326 NJM393326 NTI393326 ODE393326 ONA393326 OWW393326 PGS393326 PQO393326 QAK393326 QKG393326 QUC393326 RDY393326 RNU393326 RXQ393326 SHM393326 SRI393326 TBE393326 TLA393326 TUW393326 UES393326 UOO393326 UYK393326 VIG393326 VSC393326 WBY393326 WLU393326 WVQ393326 I458862 JE458862 TA458862 ACW458862 AMS458862 AWO458862 BGK458862 BQG458862 CAC458862 CJY458862 CTU458862 DDQ458862 DNM458862 DXI458862 EHE458862 ERA458862 FAW458862 FKS458862 FUO458862 GEK458862 GOG458862 GYC458862 HHY458862 HRU458862 IBQ458862 ILM458862 IVI458862 JFE458862 JPA458862 JYW458862 KIS458862 KSO458862 LCK458862 LMG458862 LWC458862 MFY458862 MPU458862 MZQ458862 NJM458862 NTI458862 ODE458862 ONA458862 OWW458862 PGS458862 PQO458862 QAK458862 QKG458862 QUC458862 RDY458862 RNU458862 RXQ458862 SHM458862 SRI458862 TBE458862 TLA458862 TUW458862 UES458862 UOO458862 UYK458862 VIG458862 VSC458862 WBY458862 WLU458862 WVQ458862 I524398 JE524398 TA524398 ACW524398 AMS524398 AWO524398 BGK524398 BQG524398 CAC524398 CJY524398 CTU524398 DDQ524398 DNM524398 DXI524398 EHE524398 ERA524398 FAW524398 FKS524398 FUO524398 GEK524398 GOG524398 GYC524398 HHY524398 HRU524398 IBQ524398 ILM524398 IVI524398 JFE524398 JPA524398 JYW524398 KIS524398 KSO524398 LCK524398 LMG524398 LWC524398 MFY524398 MPU524398 MZQ524398 NJM524398 NTI524398 ODE524398 ONA524398 OWW524398 PGS524398 PQO524398 QAK524398 QKG524398 QUC524398 RDY524398 RNU524398 RXQ524398 SHM524398 SRI524398 TBE524398 TLA524398 TUW524398 UES524398 UOO524398 UYK524398 VIG524398 VSC524398 WBY524398 WLU524398 WVQ524398 I589934 JE589934 TA589934 ACW589934 AMS589934 AWO589934 BGK589934 BQG589934 CAC589934 CJY589934 CTU589934 DDQ589934 DNM589934 DXI589934 EHE589934 ERA589934 FAW589934 FKS589934 FUO589934 GEK589934 GOG589934 GYC589934 HHY589934 HRU589934 IBQ589934 ILM589934 IVI589934 JFE589934 JPA589934 JYW589934 KIS589934 KSO589934 LCK589934 LMG589934 LWC589934 MFY589934 MPU589934 MZQ589934 NJM589934 NTI589934 ODE589934 ONA589934 OWW589934 PGS589934 PQO589934 QAK589934 QKG589934 QUC589934 RDY589934 RNU589934 RXQ589934 SHM589934 SRI589934 TBE589934 TLA589934 TUW589934 UES589934 UOO589934 UYK589934 VIG589934 VSC589934 WBY589934 WLU589934 WVQ589934 I655470 JE655470 TA655470 ACW655470 AMS655470 AWO655470 BGK655470 BQG655470 CAC655470 CJY655470 CTU655470 DDQ655470 DNM655470 DXI655470 EHE655470 ERA655470 FAW655470 FKS655470 FUO655470 GEK655470 GOG655470 GYC655470 HHY655470 HRU655470 IBQ655470 ILM655470 IVI655470 JFE655470 JPA655470 JYW655470 KIS655470 KSO655470 LCK655470 LMG655470 LWC655470 MFY655470 MPU655470 MZQ655470 NJM655470 NTI655470 ODE655470 ONA655470 OWW655470 PGS655470 PQO655470 QAK655470 QKG655470 QUC655470 RDY655470 RNU655470 RXQ655470 SHM655470 SRI655470 TBE655470 TLA655470 TUW655470 UES655470 UOO655470 UYK655470 VIG655470 VSC655470 WBY655470 WLU655470 WVQ655470 I721006 JE721006 TA721006 ACW721006 AMS721006 AWO721006 BGK721006 BQG721006 CAC721006 CJY721006 CTU721006 DDQ721006 DNM721006 DXI721006 EHE721006 ERA721006 FAW721006 FKS721006 FUO721006 GEK721006 GOG721006 GYC721006 HHY721006 HRU721006 IBQ721006 ILM721006 IVI721006 JFE721006 JPA721006 JYW721006 KIS721006 KSO721006 LCK721006 LMG721006 LWC721006 MFY721006 MPU721006 MZQ721006 NJM721006 NTI721006 ODE721006 ONA721006 OWW721006 PGS721006 PQO721006 QAK721006 QKG721006 QUC721006 RDY721006 RNU721006 RXQ721006 SHM721006 SRI721006 TBE721006 TLA721006 TUW721006 UES721006 UOO721006 UYK721006 VIG721006 VSC721006 WBY721006 WLU721006 WVQ721006 I786542 JE786542 TA786542 ACW786542 AMS786542 AWO786542 BGK786542 BQG786542 CAC786542 CJY786542 CTU786542 DDQ786542 DNM786542 DXI786542 EHE786542 ERA786542 FAW786542 FKS786542 FUO786542 GEK786542 GOG786542 GYC786542 HHY786542 HRU786542 IBQ786542 ILM786542 IVI786542 JFE786542 JPA786542 JYW786542 KIS786542 KSO786542 LCK786542 LMG786542 LWC786542 MFY786542 MPU786542 MZQ786542 NJM786542 NTI786542 ODE786542 ONA786542 OWW786542 PGS786542 PQO786542 QAK786542 QKG786542 QUC786542 RDY786542 RNU786542 RXQ786542 SHM786542 SRI786542 TBE786542 TLA786542 TUW786542 UES786542 UOO786542 UYK786542 VIG786542 VSC786542 WBY786542 WLU786542 WVQ786542 I852078 JE852078 TA852078 ACW852078 AMS852078 AWO852078 BGK852078 BQG852078 CAC852078 CJY852078 CTU852078 DDQ852078 DNM852078 DXI852078 EHE852078 ERA852078 FAW852078 FKS852078 FUO852078 GEK852078 GOG852078 GYC852078 HHY852078 HRU852078 IBQ852078 ILM852078 IVI852078 JFE852078 JPA852078 JYW852078 KIS852078 KSO852078 LCK852078 LMG852078 LWC852078 MFY852078 MPU852078 MZQ852078 NJM852078 NTI852078 ODE852078 ONA852078 OWW852078 PGS852078 PQO852078 QAK852078 QKG852078 QUC852078 RDY852078 RNU852078 RXQ852078 SHM852078 SRI852078 TBE852078 TLA852078 TUW852078 UES852078 UOO852078 UYK852078 VIG852078 VSC852078 WBY852078 WLU852078 WVQ852078 I917614 JE917614 TA917614 ACW917614 AMS917614 AWO917614 BGK917614 BQG917614 CAC917614 CJY917614 CTU917614 DDQ917614 DNM917614 DXI917614 EHE917614 ERA917614 FAW917614 FKS917614 FUO917614 GEK917614 GOG917614 GYC917614 HHY917614 HRU917614 IBQ917614 ILM917614 IVI917614 JFE917614 JPA917614 JYW917614 KIS917614 KSO917614 LCK917614 LMG917614 LWC917614 MFY917614 MPU917614 MZQ917614 NJM917614 NTI917614 ODE917614 ONA917614 OWW917614 PGS917614 PQO917614 QAK917614 QKG917614 QUC917614 RDY917614 RNU917614 RXQ917614 SHM917614 SRI917614 TBE917614 TLA917614 TUW917614 UES917614 UOO917614 UYK917614 VIG917614 VSC917614 WBY917614 WLU917614 WVQ917614 I983150 JE983150 TA983150 ACW983150 AMS983150 AWO983150 BGK983150 BQG983150 CAC983150 CJY983150 CTU983150 DDQ983150 DNM983150 DXI983150 EHE983150 ERA983150 FAW983150 FKS983150 FUO983150 GEK983150 GOG983150 GYC983150 HHY983150 HRU983150 IBQ983150 ILM983150 IVI983150 JFE983150 JPA983150 JYW983150 KIS983150 KSO983150 LCK983150 LMG983150 LWC983150 MFY983150 MPU983150 MZQ983150 NJM983150 NTI983150 ODE983150 ONA983150 OWW983150 PGS983150 PQO983150 QAK983150 QKG983150 QUC983150 RDY983150 RNU983150 RXQ983150 SHM983150 SRI983150 TBE983150 TLA983150 TUW983150 UES983150 UOO983150 UYK983150 VIG983150 VSC983150 WBY983150 WLU983150 WVQ983150" xr:uid="{00000000-0002-0000-0400-00000A000000}"/>
    <dataValidation type="whole" allowBlank="1" showErrorMessage="1" errorTitle="Invalid Loan Term" error="Loan Term is outside of Policy._x000a_Please enter a term between 1 &amp; 35 years depending on the applicant's age" sqref="I99 JE99 TA99 ACW99 AMS99 AWO99 BGK99 BQG99 CAC99 CJY99 CTU99 DDQ99 DNM99 DXI99 EHE99 ERA99 FAW99 FKS99 FUO99 GEK99 GOG99 GYC99 HHY99 HRU99 IBQ99 ILM99 IVI99 JFE99 JPA99 JYW99 KIS99 KSO99 LCK99 LMG99 LWC99 MFY99 MPU99 MZQ99 NJM99 NTI99 ODE99 ONA99 OWW99 PGS99 PQO99 QAK99 QKG99 QUC99 RDY99 RNU99 RXQ99 SHM99 SRI99 TBE99 TLA99 TUW99 UES99 UOO99 UYK99 VIG99 VSC99 WBY99 WLU99 WVQ99 I65644 JE65644 TA65644 ACW65644 AMS65644 AWO65644 BGK65644 BQG65644 CAC65644 CJY65644 CTU65644 DDQ65644 DNM65644 DXI65644 EHE65644 ERA65644 FAW65644 FKS65644 FUO65644 GEK65644 GOG65644 GYC65644 HHY65644 HRU65644 IBQ65644 ILM65644 IVI65644 JFE65644 JPA65644 JYW65644 KIS65644 KSO65644 LCK65644 LMG65644 LWC65644 MFY65644 MPU65644 MZQ65644 NJM65644 NTI65644 ODE65644 ONA65644 OWW65644 PGS65644 PQO65644 QAK65644 QKG65644 QUC65644 RDY65644 RNU65644 RXQ65644 SHM65644 SRI65644 TBE65644 TLA65644 TUW65644 UES65644 UOO65644 UYK65644 VIG65644 VSC65644 WBY65644 WLU65644 WVQ65644 I131180 JE131180 TA131180 ACW131180 AMS131180 AWO131180 BGK131180 BQG131180 CAC131180 CJY131180 CTU131180 DDQ131180 DNM131180 DXI131180 EHE131180 ERA131180 FAW131180 FKS131180 FUO131180 GEK131180 GOG131180 GYC131180 HHY131180 HRU131180 IBQ131180 ILM131180 IVI131180 JFE131180 JPA131180 JYW131180 KIS131180 KSO131180 LCK131180 LMG131180 LWC131180 MFY131180 MPU131180 MZQ131180 NJM131180 NTI131180 ODE131180 ONA131180 OWW131180 PGS131180 PQO131180 QAK131180 QKG131180 QUC131180 RDY131180 RNU131180 RXQ131180 SHM131180 SRI131180 TBE131180 TLA131180 TUW131180 UES131180 UOO131180 UYK131180 VIG131180 VSC131180 WBY131180 WLU131180 WVQ131180 I196716 JE196716 TA196716 ACW196716 AMS196716 AWO196716 BGK196716 BQG196716 CAC196716 CJY196716 CTU196716 DDQ196716 DNM196716 DXI196716 EHE196716 ERA196716 FAW196716 FKS196716 FUO196716 GEK196716 GOG196716 GYC196716 HHY196716 HRU196716 IBQ196716 ILM196716 IVI196716 JFE196716 JPA196716 JYW196716 KIS196716 KSO196716 LCK196716 LMG196716 LWC196716 MFY196716 MPU196716 MZQ196716 NJM196716 NTI196716 ODE196716 ONA196716 OWW196716 PGS196716 PQO196716 QAK196716 QKG196716 QUC196716 RDY196716 RNU196716 RXQ196716 SHM196716 SRI196716 TBE196716 TLA196716 TUW196716 UES196716 UOO196716 UYK196716 VIG196716 VSC196716 WBY196716 WLU196716 WVQ196716 I262252 JE262252 TA262252 ACW262252 AMS262252 AWO262252 BGK262252 BQG262252 CAC262252 CJY262252 CTU262252 DDQ262252 DNM262252 DXI262252 EHE262252 ERA262252 FAW262252 FKS262252 FUO262252 GEK262252 GOG262252 GYC262252 HHY262252 HRU262252 IBQ262252 ILM262252 IVI262252 JFE262252 JPA262252 JYW262252 KIS262252 KSO262252 LCK262252 LMG262252 LWC262252 MFY262252 MPU262252 MZQ262252 NJM262252 NTI262252 ODE262252 ONA262252 OWW262252 PGS262252 PQO262252 QAK262252 QKG262252 QUC262252 RDY262252 RNU262252 RXQ262252 SHM262252 SRI262252 TBE262252 TLA262252 TUW262252 UES262252 UOO262252 UYK262252 VIG262252 VSC262252 WBY262252 WLU262252 WVQ262252 I327788 JE327788 TA327788 ACW327788 AMS327788 AWO327788 BGK327788 BQG327788 CAC327788 CJY327788 CTU327788 DDQ327788 DNM327788 DXI327788 EHE327788 ERA327788 FAW327788 FKS327788 FUO327788 GEK327788 GOG327788 GYC327788 HHY327788 HRU327788 IBQ327788 ILM327788 IVI327788 JFE327788 JPA327788 JYW327788 KIS327788 KSO327788 LCK327788 LMG327788 LWC327788 MFY327788 MPU327788 MZQ327788 NJM327788 NTI327788 ODE327788 ONA327788 OWW327788 PGS327788 PQO327788 QAK327788 QKG327788 QUC327788 RDY327788 RNU327788 RXQ327788 SHM327788 SRI327788 TBE327788 TLA327788 TUW327788 UES327788 UOO327788 UYK327788 VIG327788 VSC327788 WBY327788 WLU327788 WVQ327788 I393324 JE393324 TA393324 ACW393324 AMS393324 AWO393324 BGK393324 BQG393324 CAC393324 CJY393324 CTU393324 DDQ393324 DNM393324 DXI393324 EHE393324 ERA393324 FAW393324 FKS393324 FUO393324 GEK393324 GOG393324 GYC393324 HHY393324 HRU393324 IBQ393324 ILM393324 IVI393324 JFE393324 JPA393324 JYW393324 KIS393324 KSO393324 LCK393324 LMG393324 LWC393324 MFY393324 MPU393324 MZQ393324 NJM393324 NTI393324 ODE393324 ONA393324 OWW393324 PGS393324 PQO393324 QAK393324 QKG393324 QUC393324 RDY393324 RNU393324 RXQ393324 SHM393324 SRI393324 TBE393324 TLA393324 TUW393324 UES393324 UOO393324 UYK393324 VIG393324 VSC393324 WBY393324 WLU393324 WVQ393324 I458860 JE458860 TA458860 ACW458860 AMS458860 AWO458860 BGK458860 BQG458860 CAC458860 CJY458860 CTU458860 DDQ458860 DNM458860 DXI458860 EHE458860 ERA458860 FAW458860 FKS458860 FUO458860 GEK458860 GOG458860 GYC458860 HHY458860 HRU458860 IBQ458860 ILM458860 IVI458860 JFE458860 JPA458860 JYW458860 KIS458860 KSO458860 LCK458860 LMG458860 LWC458860 MFY458860 MPU458860 MZQ458860 NJM458860 NTI458860 ODE458860 ONA458860 OWW458860 PGS458860 PQO458860 QAK458860 QKG458860 QUC458860 RDY458860 RNU458860 RXQ458860 SHM458860 SRI458860 TBE458860 TLA458860 TUW458860 UES458860 UOO458860 UYK458860 VIG458860 VSC458860 WBY458860 WLU458860 WVQ458860 I524396 JE524396 TA524396 ACW524396 AMS524396 AWO524396 BGK524396 BQG524396 CAC524396 CJY524396 CTU524396 DDQ524396 DNM524396 DXI524396 EHE524396 ERA524396 FAW524396 FKS524396 FUO524396 GEK524396 GOG524396 GYC524396 HHY524396 HRU524396 IBQ524396 ILM524396 IVI524396 JFE524396 JPA524396 JYW524396 KIS524396 KSO524396 LCK524396 LMG524396 LWC524396 MFY524396 MPU524396 MZQ524396 NJM524396 NTI524396 ODE524396 ONA524396 OWW524396 PGS524396 PQO524396 QAK524396 QKG524396 QUC524396 RDY524396 RNU524396 RXQ524396 SHM524396 SRI524396 TBE524396 TLA524396 TUW524396 UES524396 UOO524396 UYK524396 VIG524396 VSC524396 WBY524396 WLU524396 WVQ524396 I589932 JE589932 TA589932 ACW589932 AMS589932 AWO589932 BGK589932 BQG589932 CAC589932 CJY589932 CTU589932 DDQ589932 DNM589932 DXI589932 EHE589932 ERA589932 FAW589932 FKS589932 FUO589932 GEK589932 GOG589932 GYC589932 HHY589932 HRU589932 IBQ589932 ILM589932 IVI589932 JFE589932 JPA589932 JYW589932 KIS589932 KSO589932 LCK589932 LMG589932 LWC589932 MFY589932 MPU589932 MZQ589932 NJM589932 NTI589932 ODE589932 ONA589932 OWW589932 PGS589932 PQO589932 QAK589932 QKG589932 QUC589932 RDY589932 RNU589932 RXQ589932 SHM589932 SRI589932 TBE589932 TLA589932 TUW589932 UES589932 UOO589932 UYK589932 VIG589932 VSC589932 WBY589932 WLU589932 WVQ589932 I655468 JE655468 TA655468 ACW655468 AMS655468 AWO655468 BGK655468 BQG655468 CAC655468 CJY655468 CTU655468 DDQ655468 DNM655468 DXI655468 EHE655468 ERA655468 FAW655468 FKS655468 FUO655468 GEK655468 GOG655468 GYC655468 HHY655468 HRU655468 IBQ655468 ILM655468 IVI655468 JFE655468 JPA655468 JYW655468 KIS655468 KSO655468 LCK655468 LMG655468 LWC655468 MFY655468 MPU655468 MZQ655468 NJM655468 NTI655468 ODE655468 ONA655468 OWW655468 PGS655468 PQO655468 QAK655468 QKG655468 QUC655468 RDY655468 RNU655468 RXQ655468 SHM655468 SRI655468 TBE655468 TLA655468 TUW655468 UES655468 UOO655468 UYK655468 VIG655468 VSC655468 WBY655468 WLU655468 WVQ655468 I721004 JE721004 TA721004 ACW721004 AMS721004 AWO721004 BGK721004 BQG721004 CAC721004 CJY721004 CTU721004 DDQ721004 DNM721004 DXI721004 EHE721004 ERA721004 FAW721004 FKS721004 FUO721004 GEK721004 GOG721004 GYC721004 HHY721004 HRU721004 IBQ721004 ILM721004 IVI721004 JFE721004 JPA721004 JYW721004 KIS721004 KSO721004 LCK721004 LMG721004 LWC721004 MFY721004 MPU721004 MZQ721004 NJM721004 NTI721004 ODE721004 ONA721004 OWW721004 PGS721004 PQO721004 QAK721004 QKG721004 QUC721004 RDY721004 RNU721004 RXQ721004 SHM721004 SRI721004 TBE721004 TLA721004 TUW721004 UES721004 UOO721004 UYK721004 VIG721004 VSC721004 WBY721004 WLU721004 WVQ721004 I786540 JE786540 TA786540 ACW786540 AMS786540 AWO786540 BGK786540 BQG786540 CAC786540 CJY786540 CTU786540 DDQ786540 DNM786540 DXI786540 EHE786540 ERA786540 FAW786540 FKS786540 FUO786540 GEK786540 GOG786540 GYC786540 HHY786540 HRU786540 IBQ786540 ILM786540 IVI786540 JFE786540 JPA786540 JYW786540 KIS786540 KSO786540 LCK786540 LMG786540 LWC786540 MFY786540 MPU786540 MZQ786540 NJM786540 NTI786540 ODE786540 ONA786540 OWW786540 PGS786540 PQO786540 QAK786540 QKG786540 QUC786540 RDY786540 RNU786540 RXQ786540 SHM786540 SRI786540 TBE786540 TLA786540 TUW786540 UES786540 UOO786540 UYK786540 VIG786540 VSC786540 WBY786540 WLU786540 WVQ786540 I852076 JE852076 TA852076 ACW852076 AMS852076 AWO852076 BGK852076 BQG852076 CAC852076 CJY852076 CTU852076 DDQ852076 DNM852076 DXI852076 EHE852076 ERA852076 FAW852076 FKS852076 FUO852076 GEK852076 GOG852076 GYC852076 HHY852076 HRU852076 IBQ852076 ILM852076 IVI852076 JFE852076 JPA852076 JYW852076 KIS852076 KSO852076 LCK852076 LMG852076 LWC852076 MFY852076 MPU852076 MZQ852076 NJM852076 NTI852076 ODE852076 ONA852076 OWW852076 PGS852076 PQO852076 QAK852076 QKG852076 QUC852076 RDY852076 RNU852076 RXQ852076 SHM852076 SRI852076 TBE852076 TLA852076 TUW852076 UES852076 UOO852076 UYK852076 VIG852076 VSC852076 WBY852076 WLU852076 WVQ852076 I917612 JE917612 TA917612 ACW917612 AMS917612 AWO917612 BGK917612 BQG917612 CAC917612 CJY917612 CTU917612 DDQ917612 DNM917612 DXI917612 EHE917612 ERA917612 FAW917612 FKS917612 FUO917612 GEK917612 GOG917612 GYC917612 HHY917612 HRU917612 IBQ917612 ILM917612 IVI917612 JFE917612 JPA917612 JYW917612 KIS917612 KSO917612 LCK917612 LMG917612 LWC917612 MFY917612 MPU917612 MZQ917612 NJM917612 NTI917612 ODE917612 ONA917612 OWW917612 PGS917612 PQO917612 QAK917612 QKG917612 QUC917612 RDY917612 RNU917612 RXQ917612 SHM917612 SRI917612 TBE917612 TLA917612 TUW917612 UES917612 UOO917612 UYK917612 VIG917612 VSC917612 WBY917612 WLU917612 WVQ917612 I983148 JE983148 TA983148 ACW983148 AMS983148 AWO983148 BGK983148 BQG983148 CAC983148 CJY983148 CTU983148 DDQ983148 DNM983148 DXI983148 EHE983148 ERA983148 FAW983148 FKS983148 FUO983148 GEK983148 GOG983148 GYC983148 HHY983148 HRU983148 IBQ983148 ILM983148 IVI983148 JFE983148 JPA983148 JYW983148 KIS983148 KSO983148 LCK983148 LMG983148 LWC983148 MFY983148 MPU983148 MZQ983148 NJM983148 NTI983148 ODE983148 ONA983148 OWW983148 PGS983148 PQO983148 QAK983148 QKG983148 QUC983148 RDY983148 RNU983148 RXQ983148 SHM983148 SRI983148 TBE983148 TLA983148 TUW983148 UES983148 UOO983148 UYK983148 VIG983148 VSC983148 WBY983148 WLU983148 WVQ983148" xr:uid="{00000000-0002-0000-0400-00000B000000}">
      <formula1>1</formula1>
      <formula2>35</formula2>
    </dataValidation>
    <dataValidation allowBlank="1" showInputMessage="1" showErrorMessage="1" errorTitle="Invalid Entry" error="Numeric Characters Only" sqref="I105 JE105 TA105 ACW105 AMS105 AWO105 BGK105 BQG105 CAC105 CJY105 CTU105 DDQ105 DNM105 DXI105 EHE105 ERA105 FAW105 FKS105 FUO105 GEK105 GOG105 GYC105 HHY105 HRU105 IBQ105 ILM105 IVI105 JFE105 JPA105 JYW105 KIS105 KSO105 LCK105 LMG105 LWC105 MFY105 MPU105 MZQ105 NJM105 NTI105 ODE105 ONA105 OWW105 PGS105 PQO105 QAK105 QKG105 QUC105 RDY105 RNU105 RXQ105 SHM105 SRI105 TBE105 TLA105 TUW105 UES105 UOO105 UYK105 VIG105 VSC105 WBY105 WLU105 WVQ105 I65649 JE65649 TA65649 ACW65649 AMS65649 AWO65649 BGK65649 BQG65649 CAC65649 CJY65649 CTU65649 DDQ65649 DNM65649 DXI65649 EHE65649 ERA65649 FAW65649 FKS65649 FUO65649 GEK65649 GOG65649 GYC65649 HHY65649 HRU65649 IBQ65649 ILM65649 IVI65649 JFE65649 JPA65649 JYW65649 KIS65649 KSO65649 LCK65649 LMG65649 LWC65649 MFY65649 MPU65649 MZQ65649 NJM65649 NTI65649 ODE65649 ONA65649 OWW65649 PGS65649 PQO65649 QAK65649 QKG65649 QUC65649 RDY65649 RNU65649 RXQ65649 SHM65649 SRI65649 TBE65649 TLA65649 TUW65649 UES65649 UOO65649 UYK65649 VIG65649 VSC65649 WBY65649 WLU65649 WVQ65649 I131185 JE131185 TA131185 ACW131185 AMS131185 AWO131185 BGK131185 BQG131185 CAC131185 CJY131185 CTU131185 DDQ131185 DNM131185 DXI131185 EHE131185 ERA131185 FAW131185 FKS131185 FUO131185 GEK131185 GOG131185 GYC131185 HHY131185 HRU131185 IBQ131185 ILM131185 IVI131185 JFE131185 JPA131185 JYW131185 KIS131185 KSO131185 LCK131185 LMG131185 LWC131185 MFY131185 MPU131185 MZQ131185 NJM131185 NTI131185 ODE131185 ONA131185 OWW131185 PGS131185 PQO131185 QAK131185 QKG131185 QUC131185 RDY131185 RNU131185 RXQ131185 SHM131185 SRI131185 TBE131185 TLA131185 TUW131185 UES131185 UOO131185 UYK131185 VIG131185 VSC131185 WBY131185 WLU131185 WVQ131185 I196721 JE196721 TA196721 ACW196721 AMS196721 AWO196721 BGK196721 BQG196721 CAC196721 CJY196721 CTU196721 DDQ196721 DNM196721 DXI196721 EHE196721 ERA196721 FAW196721 FKS196721 FUO196721 GEK196721 GOG196721 GYC196721 HHY196721 HRU196721 IBQ196721 ILM196721 IVI196721 JFE196721 JPA196721 JYW196721 KIS196721 KSO196721 LCK196721 LMG196721 LWC196721 MFY196721 MPU196721 MZQ196721 NJM196721 NTI196721 ODE196721 ONA196721 OWW196721 PGS196721 PQO196721 QAK196721 QKG196721 QUC196721 RDY196721 RNU196721 RXQ196721 SHM196721 SRI196721 TBE196721 TLA196721 TUW196721 UES196721 UOO196721 UYK196721 VIG196721 VSC196721 WBY196721 WLU196721 WVQ196721 I262257 JE262257 TA262257 ACW262257 AMS262257 AWO262257 BGK262257 BQG262257 CAC262257 CJY262257 CTU262257 DDQ262257 DNM262257 DXI262257 EHE262257 ERA262257 FAW262257 FKS262257 FUO262257 GEK262257 GOG262257 GYC262257 HHY262257 HRU262257 IBQ262257 ILM262257 IVI262257 JFE262257 JPA262257 JYW262257 KIS262257 KSO262257 LCK262257 LMG262257 LWC262257 MFY262257 MPU262257 MZQ262257 NJM262257 NTI262257 ODE262257 ONA262257 OWW262257 PGS262257 PQO262257 QAK262257 QKG262257 QUC262257 RDY262257 RNU262257 RXQ262257 SHM262257 SRI262257 TBE262257 TLA262257 TUW262257 UES262257 UOO262257 UYK262257 VIG262257 VSC262257 WBY262257 WLU262257 WVQ262257 I327793 JE327793 TA327793 ACW327793 AMS327793 AWO327793 BGK327793 BQG327793 CAC327793 CJY327793 CTU327793 DDQ327793 DNM327793 DXI327793 EHE327793 ERA327793 FAW327793 FKS327793 FUO327793 GEK327793 GOG327793 GYC327793 HHY327793 HRU327793 IBQ327793 ILM327793 IVI327793 JFE327793 JPA327793 JYW327793 KIS327793 KSO327793 LCK327793 LMG327793 LWC327793 MFY327793 MPU327793 MZQ327793 NJM327793 NTI327793 ODE327793 ONA327793 OWW327793 PGS327793 PQO327793 QAK327793 QKG327793 QUC327793 RDY327793 RNU327793 RXQ327793 SHM327793 SRI327793 TBE327793 TLA327793 TUW327793 UES327793 UOO327793 UYK327793 VIG327793 VSC327793 WBY327793 WLU327793 WVQ327793 I393329 JE393329 TA393329 ACW393329 AMS393329 AWO393329 BGK393329 BQG393329 CAC393329 CJY393329 CTU393329 DDQ393329 DNM393329 DXI393329 EHE393329 ERA393329 FAW393329 FKS393329 FUO393329 GEK393329 GOG393329 GYC393329 HHY393329 HRU393329 IBQ393329 ILM393329 IVI393329 JFE393329 JPA393329 JYW393329 KIS393329 KSO393329 LCK393329 LMG393329 LWC393329 MFY393329 MPU393329 MZQ393329 NJM393329 NTI393329 ODE393329 ONA393329 OWW393329 PGS393329 PQO393329 QAK393329 QKG393329 QUC393329 RDY393329 RNU393329 RXQ393329 SHM393329 SRI393329 TBE393329 TLA393329 TUW393329 UES393329 UOO393329 UYK393329 VIG393329 VSC393329 WBY393329 WLU393329 WVQ393329 I458865 JE458865 TA458865 ACW458865 AMS458865 AWO458865 BGK458865 BQG458865 CAC458865 CJY458865 CTU458865 DDQ458865 DNM458865 DXI458865 EHE458865 ERA458865 FAW458865 FKS458865 FUO458865 GEK458865 GOG458865 GYC458865 HHY458865 HRU458865 IBQ458865 ILM458865 IVI458865 JFE458865 JPA458865 JYW458865 KIS458865 KSO458865 LCK458865 LMG458865 LWC458865 MFY458865 MPU458865 MZQ458865 NJM458865 NTI458865 ODE458865 ONA458865 OWW458865 PGS458865 PQO458865 QAK458865 QKG458865 QUC458865 RDY458865 RNU458865 RXQ458865 SHM458865 SRI458865 TBE458865 TLA458865 TUW458865 UES458865 UOO458865 UYK458865 VIG458865 VSC458865 WBY458865 WLU458865 WVQ458865 I524401 JE524401 TA524401 ACW524401 AMS524401 AWO524401 BGK524401 BQG524401 CAC524401 CJY524401 CTU524401 DDQ524401 DNM524401 DXI524401 EHE524401 ERA524401 FAW524401 FKS524401 FUO524401 GEK524401 GOG524401 GYC524401 HHY524401 HRU524401 IBQ524401 ILM524401 IVI524401 JFE524401 JPA524401 JYW524401 KIS524401 KSO524401 LCK524401 LMG524401 LWC524401 MFY524401 MPU524401 MZQ524401 NJM524401 NTI524401 ODE524401 ONA524401 OWW524401 PGS524401 PQO524401 QAK524401 QKG524401 QUC524401 RDY524401 RNU524401 RXQ524401 SHM524401 SRI524401 TBE524401 TLA524401 TUW524401 UES524401 UOO524401 UYK524401 VIG524401 VSC524401 WBY524401 WLU524401 WVQ524401 I589937 JE589937 TA589937 ACW589937 AMS589937 AWO589937 BGK589937 BQG589937 CAC589937 CJY589937 CTU589937 DDQ589937 DNM589937 DXI589937 EHE589937 ERA589937 FAW589937 FKS589937 FUO589937 GEK589937 GOG589937 GYC589937 HHY589937 HRU589937 IBQ589937 ILM589937 IVI589937 JFE589937 JPA589937 JYW589937 KIS589937 KSO589937 LCK589937 LMG589937 LWC589937 MFY589937 MPU589937 MZQ589937 NJM589937 NTI589937 ODE589937 ONA589937 OWW589937 PGS589937 PQO589937 QAK589937 QKG589937 QUC589937 RDY589937 RNU589937 RXQ589937 SHM589937 SRI589937 TBE589937 TLA589937 TUW589937 UES589937 UOO589937 UYK589937 VIG589937 VSC589937 WBY589937 WLU589937 WVQ589937 I655473 JE655473 TA655473 ACW655473 AMS655473 AWO655473 BGK655473 BQG655473 CAC655473 CJY655473 CTU655473 DDQ655473 DNM655473 DXI655473 EHE655473 ERA655473 FAW655473 FKS655473 FUO655473 GEK655473 GOG655473 GYC655473 HHY655473 HRU655473 IBQ655473 ILM655473 IVI655473 JFE655473 JPA655473 JYW655473 KIS655473 KSO655473 LCK655473 LMG655473 LWC655473 MFY655473 MPU655473 MZQ655473 NJM655473 NTI655473 ODE655473 ONA655473 OWW655473 PGS655473 PQO655473 QAK655473 QKG655473 QUC655473 RDY655473 RNU655473 RXQ655473 SHM655473 SRI655473 TBE655473 TLA655473 TUW655473 UES655473 UOO655473 UYK655473 VIG655473 VSC655473 WBY655473 WLU655473 WVQ655473 I721009 JE721009 TA721009 ACW721009 AMS721009 AWO721009 BGK721009 BQG721009 CAC721009 CJY721009 CTU721009 DDQ721009 DNM721009 DXI721009 EHE721009 ERA721009 FAW721009 FKS721009 FUO721009 GEK721009 GOG721009 GYC721009 HHY721009 HRU721009 IBQ721009 ILM721009 IVI721009 JFE721009 JPA721009 JYW721009 KIS721009 KSO721009 LCK721009 LMG721009 LWC721009 MFY721009 MPU721009 MZQ721009 NJM721009 NTI721009 ODE721009 ONA721009 OWW721009 PGS721009 PQO721009 QAK721009 QKG721009 QUC721009 RDY721009 RNU721009 RXQ721009 SHM721009 SRI721009 TBE721009 TLA721009 TUW721009 UES721009 UOO721009 UYK721009 VIG721009 VSC721009 WBY721009 WLU721009 WVQ721009 I786545 JE786545 TA786545 ACW786545 AMS786545 AWO786545 BGK786545 BQG786545 CAC786545 CJY786545 CTU786545 DDQ786545 DNM786545 DXI786545 EHE786545 ERA786545 FAW786545 FKS786545 FUO786545 GEK786545 GOG786545 GYC786545 HHY786545 HRU786545 IBQ786545 ILM786545 IVI786545 JFE786545 JPA786545 JYW786545 KIS786545 KSO786545 LCK786545 LMG786545 LWC786545 MFY786545 MPU786545 MZQ786545 NJM786545 NTI786545 ODE786545 ONA786545 OWW786545 PGS786545 PQO786545 QAK786545 QKG786545 QUC786545 RDY786545 RNU786545 RXQ786545 SHM786545 SRI786545 TBE786545 TLA786545 TUW786545 UES786545 UOO786545 UYK786545 VIG786545 VSC786545 WBY786545 WLU786545 WVQ786545 I852081 JE852081 TA852081 ACW852081 AMS852081 AWO852081 BGK852081 BQG852081 CAC852081 CJY852081 CTU852081 DDQ852081 DNM852081 DXI852081 EHE852081 ERA852081 FAW852081 FKS852081 FUO852081 GEK852081 GOG852081 GYC852081 HHY852081 HRU852081 IBQ852081 ILM852081 IVI852081 JFE852081 JPA852081 JYW852081 KIS852081 KSO852081 LCK852081 LMG852081 LWC852081 MFY852081 MPU852081 MZQ852081 NJM852081 NTI852081 ODE852081 ONA852081 OWW852081 PGS852081 PQO852081 QAK852081 QKG852081 QUC852081 RDY852081 RNU852081 RXQ852081 SHM852081 SRI852081 TBE852081 TLA852081 TUW852081 UES852081 UOO852081 UYK852081 VIG852081 VSC852081 WBY852081 WLU852081 WVQ852081 I917617 JE917617 TA917617 ACW917617 AMS917617 AWO917617 BGK917617 BQG917617 CAC917617 CJY917617 CTU917617 DDQ917617 DNM917617 DXI917617 EHE917617 ERA917617 FAW917617 FKS917617 FUO917617 GEK917617 GOG917617 GYC917617 HHY917617 HRU917617 IBQ917617 ILM917617 IVI917617 JFE917617 JPA917617 JYW917617 KIS917617 KSO917617 LCK917617 LMG917617 LWC917617 MFY917617 MPU917617 MZQ917617 NJM917617 NTI917617 ODE917617 ONA917617 OWW917617 PGS917617 PQO917617 QAK917617 QKG917617 QUC917617 RDY917617 RNU917617 RXQ917617 SHM917617 SRI917617 TBE917617 TLA917617 TUW917617 UES917617 UOO917617 UYK917617 VIG917617 VSC917617 WBY917617 WLU917617 WVQ917617 I983153 JE983153 TA983153 ACW983153 AMS983153 AWO983153 BGK983153 BQG983153 CAC983153 CJY983153 CTU983153 DDQ983153 DNM983153 DXI983153 EHE983153 ERA983153 FAW983153 FKS983153 FUO983153 GEK983153 GOG983153 GYC983153 HHY983153 HRU983153 IBQ983153 ILM983153 IVI983153 JFE983153 JPA983153 JYW983153 KIS983153 KSO983153 LCK983153 LMG983153 LWC983153 MFY983153 MPU983153 MZQ983153 NJM983153 NTI983153 ODE983153 ONA983153 OWW983153 PGS983153 PQO983153 QAK983153 QKG983153 QUC983153 RDY983153 RNU983153 RXQ983153 SHM983153 SRI983153 TBE983153 TLA983153 TUW983153 UES983153 UOO983153 UYK983153 VIG983153 VSC983153 WBY983153 WLU983153 WVQ983153" xr:uid="{00000000-0002-0000-0400-00000C000000}"/>
    <dataValidation type="whole" allowBlank="1" showInputMessage="1" showErrorMessage="1" errorTitle="Invalid Entry" error="Numeric Characters Only" sqref="AX166:AX168 KT166:KT168 UP166:UP168 AEL166:AEL168 AOH166:AOH168 AYD166:AYD168 BHZ166:BHZ168 BRV166:BRV168 CBR166:CBR168 CLN166:CLN168 CVJ166:CVJ168 DFF166:DFF168 DPB166:DPB168 DYX166:DYX168 EIT166:EIT168 ESP166:ESP168 FCL166:FCL168 FMH166:FMH168 FWD166:FWD168 GFZ166:GFZ168 GPV166:GPV168 GZR166:GZR168 HJN166:HJN168 HTJ166:HTJ168 IDF166:IDF168 INB166:INB168 IWX166:IWX168 JGT166:JGT168 JQP166:JQP168 KAL166:KAL168 KKH166:KKH168 KUD166:KUD168 LDZ166:LDZ168 LNV166:LNV168 LXR166:LXR168 MHN166:MHN168 MRJ166:MRJ168 NBF166:NBF168 NLB166:NLB168 NUX166:NUX168 OET166:OET168 OOP166:OOP168 OYL166:OYL168 PIH166:PIH168 PSD166:PSD168 QBZ166:QBZ168 QLV166:QLV168 QVR166:QVR168 RFN166:RFN168 RPJ166:RPJ168 RZF166:RZF168 SJB166:SJB168 SSX166:SSX168 TCT166:TCT168 TMP166:TMP168 TWL166:TWL168 UGH166:UGH168 UQD166:UQD168 UZZ166:UZZ168 VJV166:VJV168 VTR166:VTR168 WDN166:WDN168 WNJ166:WNJ168 WXF166:WXF168 AX65704:AX65705 KT65704:KT65705 UP65704:UP65705 AEL65704:AEL65705 AOH65704:AOH65705 AYD65704:AYD65705 BHZ65704:BHZ65705 BRV65704:BRV65705 CBR65704:CBR65705 CLN65704:CLN65705 CVJ65704:CVJ65705 DFF65704:DFF65705 DPB65704:DPB65705 DYX65704:DYX65705 EIT65704:EIT65705 ESP65704:ESP65705 FCL65704:FCL65705 FMH65704:FMH65705 FWD65704:FWD65705 GFZ65704:GFZ65705 GPV65704:GPV65705 GZR65704:GZR65705 HJN65704:HJN65705 HTJ65704:HTJ65705 IDF65704:IDF65705 INB65704:INB65705 IWX65704:IWX65705 JGT65704:JGT65705 JQP65704:JQP65705 KAL65704:KAL65705 KKH65704:KKH65705 KUD65704:KUD65705 LDZ65704:LDZ65705 LNV65704:LNV65705 LXR65704:LXR65705 MHN65704:MHN65705 MRJ65704:MRJ65705 NBF65704:NBF65705 NLB65704:NLB65705 NUX65704:NUX65705 OET65704:OET65705 OOP65704:OOP65705 OYL65704:OYL65705 PIH65704:PIH65705 PSD65704:PSD65705 QBZ65704:QBZ65705 QLV65704:QLV65705 QVR65704:QVR65705 RFN65704:RFN65705 RPJ65704:RPJ65705 RZF65704:RZF65705 SJB65704:SJB65705 SSX65704:SSX65705 TCT65704:TCT65705 TMP65704:TMP65705 TWL65704:TWL65705 UGH65704:UGH65705 UQD65704:UQD65705 UZZ65704:UZZ65705 VJV65704:VJV65705 VTR65704:VTR65705 WDN65704:WDN65705 WNJ65704:WNJ65705 WXF65704:WXF65705 AX131240:AX131241 KT131240:KT131241 UP131240:UP131241 AEL131240:AEL131241 AOH131240:AOH131241 AYD131240:AYD131241 BHZ131240:BHZ131241 BRV131240:BRV131241 CBR131240:CBR131241 CLN131240:CLN131241 CVJ131240:CVJ131241 DFF131240:DFF131241 DPB131240:DPB131241 DYX131240:DYX131241 EIT131240:EIT131241 ESP131240:ESP131241 FCL131240:FCL131241 FMH131240:FMH131241 FWD131240:FWD131241 GFZ131240:GFZ131241 GPV131240:GPV131241 GZR131240:GZR131241 HJN131240:HJN131241 HTJ131240:HTJ131241 IDF131240:IDF131241 INB131240:INB131241 IWX131240:IWX131241 JGT131240:JGT131241 JQP131240:JQP131241 KAL131240:KAL131241 KKH131240:KKH131241 KUD131240:KUD131241 LDZ131240:LDZ131241 LNV131240:LNV131241 LXR131240:LXR131241 MHN131240:MHN131241 MRJ131240:MRJ131241 NBF131240:NBF131241 NLB131240:NLB131241 NUX131240:NUX131241 OET131240:OET131241 OOP131240:OOP131241 OYL131240:OYL131241 PIH131240:PIH131241 PSD131240:PSD131241 QBZ131240:QBZ131241 QLV131240:QLV131241 QVR131240:QVR131241 RFN131240:RFN131241 RPJ131240:RPJ131241 RZF131240:RZF131241 SJB131240:SJB131241 SSX131240:SSX131241 TCT131240:TCT131241 TMP131240:TMP131241 TWL131240:TWL131241 UGH131240:UGH131241 UQD131240:UQD131241 UZZ131240:UZZ131241 VJV131240:VJV131241 VTR131240:VTR131241 WDN131240:WDN131241 WNJ131240:WNJ131241 WXF131240:WXF131241 AX196776:AX196777 KT196776:KT196777 UP196776:UP196777 AEL196776:AEL196777 AOH196776:AOH196777 AYD196776:AYD196777 BHZ196776:BHZ196777 BRV196776:BRV196777 CBR196776:CBR196777 CLN196776:CLN196777 CVJ196776:CVJ196777 DFF196776:DFF196777 DPB196776:DPB196777 DYX196776:DYX196777 EIT196776:EIT196777 ESP196776:ESP196777 FCL196776:FCL196777 FMH196776:FMH196777 FWD196776:FWD196777 GFZ196776:GFZ196777 GPV196776:GPV196777 GZR196776:GZR196777 HJN196776:HJN196777 HTJ196776:HTJ196777 IDF196776:IDF196777 INB196776:INB196777 IWX196776:IWX196777 JGT196776:JGT196777 JQP196776:JQP196777 KAL196776:KAL196777 KKH196776:KKH196777 KUD196776:KUD196777 LDZ196776:LDZ196777 LNV196776:LNV196777 LXR196776:LXR196777 MHN196776:MHN196777 MRJ196776:MRJ196777 NBF196776:NBF196777 NLB196776:NLB196777 NUX196776:NUX196777 OET196776:OET196777 OOP196776:OOP196777 OYL196776:OYL196777 PIH196776:PIH196777 PSD196776:PSD196777 QBZ196776:QBZ196777 QLV196776:QLV196777 QVR196776:QVR196777 RFN196776:RFN196777 RPJ196776:RPJ196777 RZF196776:RZF196777 SJB196776:SJB196777 SSX196776:SSX196777 TCT196776:TCT196777 TMP196776:TMP196777 TWL196776:TWL196777 UGH196776:UGH196777 UQD196776:UQD196777 UZZ196776:UZZ196777 VJV196776:VJV196777 VTR196776:VTR196777 WDN196776:WDN196777 WNJ196776:WNJ196777 WXF196776:WXF196777 AX262312:AX262313 KT262312:KT262313 UP262312:UP262313 AEL262312:AEL262313 AOH262312:AOH262313 AYD262312:AYD262313 BHZ262312:BHZ262313 BRV262312:BRV262313 CBR262312:CBR262313 CLN262312:CLN262313 CVJ262312:CVJ262313 DFF262312:DFF262313 DPB262312:DPB262313 DYX262312:DYX262313 EIT262312:EIT262313 ESP262312:ESP262313 FCL262312:FCL262313 FMH262312:FMH262313 FWD262312:FWD262313 GFZ262312:GFZ262313 GPV262312:GPV262313 GZR262312:GZR262313 HJN262312:HJN262313 HTJ262312:HTJ262313 IDF262312:IDF262313 INB262312:INB262313 IWX262312:IWX262313 JGT262312:JGT262313 JQP262312:JQP262313 KAL262312:KAL262313 KKH262312:KKH262313 KUD262312:KUD262313 LDZ262312:LDZ262313 LNV262312:LNV262313 LXR262312:LXR262313 MHN262312:MHN262313 MRJ262312:MRJ262313 NBF262312:NBF262313 NLB262312:NLB262313 NUX262312:NUX262313 OET262312:OET262313 OOP262312:OOP262313 OYL262312:OYL262313 PIH262312:PIH262313 PSD262312:PSD262313 QBZ262312:QBZ262313 QLV262312:QLV262313 QVR262312:QVR262313 RFN262312:RFN262313 RPJ262312:RPJ262313 RZF262312:RZF262313 SJB262312:SJB262313 SSX262312:SSX262313 TCT262312:TCT262313 TMP262312:TMP262313 TWL262312:TWL262313 UGH262312:UGH262313 UQD262312:UQD262313 UZZ262312:UZZ262313 VJV262312:VJV262313 VTR262312:VTR262313 WDN262312:WDN262313 WNJ262312:WNJ262313 WXF262312:WXF262313 AX327848:AX327849 KT327848:KT327849 UP327848:UP327849 AEL327848:AEL327849 AOH327848:AOH327849 AYD327848:AYD327849 BHZ327848:BHZ327849 BRV327848:BRV327849 CBR327848:CBR327849 CLN327848:CLN327849 CVJ327848:CVJ327849 DFF327848:DFF327849 DPB327848:DPB327849 DYX327848:DYX327849 EIT327848:EIT327849 ESP327848:ESP327849 FCL327848:FCL327849 FMH327848:FMH327849 FWD327848:FWD327849 GFZ327848:GFZ327849 GPV327848:GPV327849 GZR327848:GZR327849 HJN327848:HJN327849 HTJ327848:HTJ327849 IDF327848:IDF327849 INB327848:INB327849 IWX327848:IWX327849 JGT327848:JGT327849 JQP327848:JQP327849 KAL327848:KAL327849 KKH327848:KKH327849 KUD327848:KUD327849 LDZ327848:LDZ327849 LNV327848:LNV327849 LXR327848:LXR327849 MHN327848:MHN327849 MRJ327848:MRJ327849 NBF327848:NBF327849 NLB327848:NLB327849 NUX327848:NUX327849 OET327848:OET327849 OOP327848:OOP327849 OYL327848:OYL327849 PIH327848:PIH327849 PSD327848:PSD327849 QBZ327848:QBZ327849 QLV327848:QLV327849 QVR327848:QVR327849 RFN327848:RFN327849 RPJ327848:RPJ327849 RZF327848:RZF327849 SJB327848:SJB327849 SSX327848:SSX327849 TCT327848:TCT327849 TMP327848:TMP327849 TWL327848:TWL327849 UGH327848:UGH327849 UQD327848:UQD327849 UZZ327848:UZZ327849 VJV327848:VJV327849 VTR327848:VTR327849 WDN327848:WDN327849 WNJ327848:WNJ327849 WXF327848:WXF327849 AX393384:AX393385 KT393384:KT393385 UP393384:UP393385 AEL393384:AEL393385 AOH393384:AOH393385 AYD393384:AYD393385 BHZ393384:BHZ393385 BRV393384:BRV393385 CBR393384:CBR393385 CLN393384:CLN393385 CVJ393384:CVJ393385 DFF393384:DFF393385 DPB393384:DPB393385 DYX393384:DYX393385 EIT393384:EIT393385 ESP393384:ESP393385 FCL393384:FCL393385 FMH393384:FMH393385 FWD393384:FWD393385 GFZ393384:GFZ393385 GPV393384:GPV393385 GZR393384:GZR393385 HJN393384:HJN393385 HTJ393384:HTJ393385 IDF393384:IDF393385 INB393384:INB393385 IWX393384:IWX393385 JGT393384:JGT393385 JQP393384:JQP393385 KAL393384:KAL393385 KKH393384:KKH393385 KUD393384:KUD393385 LDZ393384:LDZ393385 LNV393384:LNV393385 LXR393384:LXR393385 MHN393384:MHN393385 MRJ393384:MRJ393385 NBF393384:NBF393385 NLB393384:NLB393385 NUX393384:NUX393385 OET393384:OET393385 OOP393384:OOP393385 OYL393384:OYL393385 PIH393384:PIH393385 PSD393384:PSD393385 QBZ393384:QBZ393385 QLV393384:QLV393385 QVR393384:QVR393385 RFN393384:RFN393385 RPJ393384:RPJ393385 RZF393384:RZF393385 SJB393384:SJB393385 SSX393384:SSX393385 TCT393384:TCT393385 TMP393384:TMP393385 TWL393384:TWL393385 UGH393384:UGH393385 UQD393384:UQD393385 UZZ393384:UZZ393385 VJV393384:VJV393385 VTR393384:VTR393385 WDN393384:WDN393385 WNJ393384:WNJ393385 WXF393384:WXF393385 AX458920:AX458921 KT458920:KT458921 UP458920:UP458921 AEL458920:AEL458921 AOH458920:AOH458921 AYD458920:AYD458921 BHZ458920:BHZ458921 BRV458920:BRV458921 CBR458920:CBR458921 CLN458920:CLN458921 CVJ458920:CVJ458921 DFF458920:DFF458921 DPB458920:DPB458921 DYX458920:DYX458921 EIT458920:EIT458921 ESP458920:ESP458921 FCL458920:FCL458921 FMH458920:FMH458921 FWD458920:FWD458921 GFZ458920:GFZ458921 GPV458920:GPV458921 GZR458920:GZR458921 HJN458920:HJN458921 HTJ458920:HTJ458921 IDF458920:IDF458921 INB458920:INB458921 IWX458920:IWX458921 JGT458920:JGT458921 JQP458920:JQP458921 KAL458920:KAL458921 KKH458920:KKH458921 KUD458920:KUD458921 LDZ458920:LDZ458921 LNV458920:LNV458921 LXR458920:LXR458921 MHN458920:MHN458921 MRJ458920:MRJ458921 NBF458920:NBF458921 NLB458920:NLB458921 NUX458920:NUX458921 OET458920:OET458921 OOP458920:OOP458921 OYL458920:OYL458921 PIH458920:PIH458921 PSD458920:PSD458921 QBZ458920:QBZ458921 QLV458920:QLV458921 QVR458920:QVR458921 RFN458920:RFN458921 RPJ458920:RPJ458921 RZF458920:RZF458921 SJB458920:SJB458921 SSX458920:SSX458921 TCT458920:TCT458921 TMP458920:TMP458921 TWL458920:TWL458921 UGH458920:UGH458921 UQD458920:UQD458921 UZZ458920:UZZ458921 VJV458920:VJV458921 VTR458920:VTR458921 WDN458920:WDN458921 WNJ458920:WNJ458921 WXF458920:WXF458921 AX524456:AX524457 KT524456:KT524457 UP524456:UP524457 AEL524456:AEL524457 AOH524456:AOH524457 AYD524456:AYD524457 BHZ524456:BHZ524457 BRV524456:BRV524457 CBR524456:CBR524457 CLN524456:CLN524457 CVJ524456:CVJ524457 DFF524456:DFF524457 DPB524456:DPB524457 DYX524456:DYX524457 EIT524456:EIT524457 ESP524456:ESP524457 FCL524456:FCL524457 FMH524456:FMH524457 FWD524456:FWD524457 GFZ524456:GFZ524457 GPV524456:GPV524457 GZR524456:GZR524457 HJN524456:HJN524457 HTJ524456:HTJ524457 IDF524456:IDF524457 INB524456:INB524457 IWX524456:IWX524457 JGT524456:JGT524457 JQP524456:JQP524457 KAL524456:KAL524457 KKH524456:KKH524457 KUD524456:KUD524457 LDZ524456:LDZ524457 LNV524456:LNV524457 LXR524456:LXR524457 MHN524456:MHN524457 MRJ524456:MRJ524457 NBF524456:NBF524457 NLB524456:NLB524457 NUX524456:NUX524457 OET524456:OET524457 OOP524456:OOP524457 OYL524456:OYL524457 PIH524456:PIH524457 PSD524456:PSD524457 QBZ524456:QBZ524457 QLV524456:QLV524457 QVR524456:QVR524457 RFN524456:RFN524457 RPJ524456:RPJ524457 RZF524456:RZF524457 SJB524456:SJB524457 SSX524456:SSX524457 TCT524456:TCT524457 TMP524456:TMP524457 TWL524456:TWL524457 UGH524456:UGH524457 UQD524456:UQD524457 UZZ524456:UZZ524457 VJV524456:VJV524457 VTR524456:VTR524457 WDN524456:WDN524457 WNJ524456:WNJ524457 WXF524456:WXF524457 AX589992:AX589993 KT589992:KT589993 UP589992:UP589993 AEL589992:AEL589993 AOH589992:AOH589993 AYD589992:AYD589993 BHZ589992:BHZ589993 BRV589992:BRV589993 CBR589992:CBR589993 CLN589992:CLN589993 CVJ589992:CVJ589993 DFF589992:DFF589993 DPB589992:DPB589993 DYX589992:DYX589993 EIT589992:EIT589993 ESP589992:ESP589993 FCL589992:FCL589993 FMH589992:FMH589993 FWD589992:FWD589993 GFZ589992:GFZ589993 GPV589992:GPV589993 GZR589992:GZR589993 HJN589992:HJN589993 HTJ589992:HTJ589993 IDF589992:IDF589993 INB589992:INB589993 IWX589992:IWX589993 JGT589992:JGT589993 JQP589992:JQP589993 KAL589992:KAL589993 KKH589992:KKH589993 KUD589992:KUD589993 LDZ589992:LDZ589993 LNV589992:LNV589993 LXR589992:LXR589993 MHN589992:MHN589993 MRJ589992:MRJ589993 NBF589992:NBF589993 NLB589992:NLB589993 NUX589992:NUX589993 OET589992:OET589993 OOP589992:OOP589993 OYL589992:OYL589993 PIH589992:PIH589993 PSD589992:PSD589993 QBZ589992:QBZ589993 QLV589992:QLV589993 QVR589992:QVR589993 RFN589992:RFN589993 RPJ589992:RPJ589993 RZF589992:RZF589993 SJB589992:SJB589993 SSX589992:SSX589993 TCT589992:TCT589993 TMP589992:TMP589993 TWL589992:TWL589993 UGH589992:UGH589993 UQD589992:UQD589993 UZZ589992:UZZ589993 VJV589992:VJV589993 VTR589992:VTR589993 WDN589992:WDN589993 WNJ589992:WNJ589993 WXF589992:WXF589993 AX655528:AX655529 KT655528:KT655529 UP655528:UP655529 AEL655528:AEL655529 AOH655528:AOH655529 AYD655528:AYD655529 BHZ655528:BHZ655529 BRV655528:BRV655529 CBR655528:CBR655529 CLN655528:CLN655529 CVJ655528:CVJ655529 DFF655528:DFF655529 DPB655528:DPB655529 DYX655528:DYX655529 EIT655528:EIT655529 ESP655528:ESP655529 FCL655528:FCL655529 FMH655528:FMH655529 FWD655528:FWD655529 GFZ655528:GFZ655529 GPV655528:GPV655529 GZR655528:GZR655529 HJN655528:HJN655529 HTJ655528:HTJ655529 IDF655528:IDF655529 INB655528:INB655529 IWX655528:IWX655529 JGT655528:JGT655529 JQP655528:JQP655529 KAL655528:KAL655529 KKH655528:KKH655529 KUD655528:KUD655529 LDZ655528:LDZ655529 LNV655528:LNV655529 LXR655528:LXR655529 MHN655528:MHN655529 MRJ655528:MRJ655529 NBF655528:NBF655529 NLB655528:NLB655529 NUX655528:NUX655529 OET655528:OET655529 OOP655528:OOP655529 OYL655528:OYL655529 PIH655528:PIH655529 PSD655528:PSD655529 QBZ655528:QBZ655529 QLV655528:QLV655529 QVR655528:QVR655529 RFN655528:RFN655529 RPJ655528:RPJ655529 RZF655528:RZF655529 SJB655528:SJB655529 SSX655528:SSX655529 TCT655528:TCT655529 TMP655528:TMP655529 TWL655528:TWL655529 UGH655528:UGH655529 UQD655528:UQD655529 UZZ655528:UZZ655529 VJV655528:VJV655529 VTR655528:VTR655529 WDN655528:WDN655529 WNJ655528:WNJ655529 WXF655528:WXF655529 AX721064:AX721065 KT721064:KT721065 UP721064:UP721065 AEL721064:AEL721065 AOH721064:AOH721065 AYD721064:AYD721065 BHZ721064:BHZ721065 BRV721064:BRV721065 CBR721064:CBR721065 CLN721064:CLN721065 CVJ721064:CVJ721065 DFF721064:DFF721065 DPB721064:DPB721065 DYX721064:DYX721065 EIT721064:EIT721065 ESP721064:ESP721065 FCL721064:FCL721065 FMH721064:FMH721065 FWD721064:FWD721065 GFZ721064:GFZ721065 GPV721064:GPV721065 GZR721064:GZR721065 HJN721064:HJN721065 HTJ721064:HTJ721065 IDF721064:IDF721065 INB721064:INB721065 IWX721064:IWX721065 JGT721064:JGT721065 JQP721064:JQP721065 KAL721064:KAL721065 KKH721064:KKH721065 KUD721064:KUD721065 LDZ721064:LDZ721065 LNV721064:LNV721065 LXR721064:LXR721065 MHN721064:MHN721065 MRJ721064:MRJ721065 NBF721064:NBF721065 NLB721064:NLB721065 NUX721064:NUX721065 OET721064:OET721065 OOP721064:OOP721065 OYL721064:OYL721065 PIH721064:PIH721065 PSD721064:PSD721065 QBZ721064:QBZ721065 QLV721064:QLV721065 QVR721064:QVR721065 RFN721064:RFN721065 RPJ721064:RPJ721065 RZF721064:RZF721065 SJB721064:SJB721065 SSX721064:SSX721065 TCT721064:TCT721065 TMP721064:TMP721065 TWL721064:TWL721065 UGH721064:UGH721065 UQD721064:UQD721065 UZZ721064:UZZ721065 VJV721064:VJV721065 VTR721064:VTR721065 WDN721064:WDN721065 WNJ721064:WNJ721065 WXF721064:WXF721065 AX786600:AX786601 KT786600:KT786601 UP786600:UP786601 AEL786600:AEL786601 AOH786600:AOH786601 AYD786600:AYD786601 BHZ786600:BHZ786601 BRV786600:BRV786601 CBR786600:CBR786601 CLN786600:CLN786601 CVJ786600:CVJ786601 DFF786600:DFF786601 DPB786600:DPB786601 DYX786600:DYX786601 EIT786600:EIT786601 ESP786600:ESP786601 FCL786600:FCL786601 FMH786600:FMH786601 FWD786600:FWD786601 GFZ786600:GFZ786601 GPV786600:GPV786601 GZR786600:GZR786601 HJN786600:HJN786601 HTJ786600:HTJ786601 IDF786600:IDF786601 INB786600:INB786601 IWX786600:IWX786601 JGT786600:JGT786601 JQP786600:JQP786601 KAL786600:KAL786601 KKH786600:KKH786601 KUD786600:KUD786601 LDZ786600:LDZ786601 LNV786600:LNV786601 LXR786600:LXR786601 MHN786600:MHN786601 MRJ786600:MRJ786601 NBF786600:NBF786601 NLB786600:NLB786601 NUX786600:NUX786601 OET786600:OET786601 OOP786600:OOP786601 OYL786600:OYL786601 PIH786600:PIH786601 PSD786600:PSD786601 QBZ786600:QBZ786601 QLV786600:QLV786601 QVR786600:QVR786601 RFN786600:RFN786601 RPJ786600:RPJ786601 RZF786600:RZF786601 SJB786600:SJB786601 SSX786600:SSX786601 TCT786600:TCT786601 TMP786600:TMP786601 TWL786600:TWL786601 UGH786600:UGH786601 UQD786600:UQD786601 UZZ786600:UZZ786601 VJV786600:VJV786601 VTR786600:VTR786601 WDN786600:WDN786601 WNJ786600:WNJ786601 WXF786600:WXF786601 AX852136:AX852137 KT852136:KT852137 UP852136:UP852137 AEL852136:AEL852137 AOH852136:AOH852137 AYD852136:AYD852137 BHZ852136:BHZ852137 BRV852136:BRV852137 CBR852136:CBR852137 CLN852136:CLN852137 CVJ852136:CVJ852137 DFF852136:DFF852137 DPB852136:DPB852137 DYX852136:DYX852137 EIT852136:EIT852137 ESP852136:ESP852137 FCL852136:FCL852137 FMH852136:FMH852137 FWD852136:FWD852137 GFZ852136:GFZ852137 GPV852136:GPV852137 GZR852136:GZR852137 HJN852136:HJN852137 HTJ852136:HTJ852137 IDF852136:IDF852137 INB852136:INB852137 IWX852136:IWX852137 JGT852136:JGT852137 JQP852136:JQP852137 KAL852136:KAL852137 KKH852136:KKH852137 KUD852136:KUD852137 LDZ852136:LDZ852137 LNV852136:LNV852137 LXR852136:LXR852137 MHN852136:MHN852137 MRJ852136:MRJ852137 NBF852136:NBF852137 NLB852136:NLB852137 NUX852136:NUX852137 OET852136:OET852137 OOP852136:OOP852137 OYL852136:OYL852137 PIH852136:PIH852137 PSD852136:PSD852137 QBZ852136:QBZ852137 QLV852136:QLV852137 QVR852136:QVR852137 RFN852136:RFN852137 RPJ852136:RPJ852137 RZF852136:RZF852137 SJB852136:SJB852137 SSX852136:SSX852137 TCT852136:TCT852137 TMP852136:TMP852137 TWL852136:TWL852137 UGH852136:UGH852137 UQD852136:UQD852137 UZZ852136:UZZ852137 VJV852136:VJV852137 VTR852136:VTR852137 WDN852136:WDN852137 WNJ852136:WNJ852137 WXF852136:WXF852137 AX917672:AX917673 KT917672:KT917673 UP917672:UP917673 AEL917672:AEL917673 AOH917672:AOH917673 AYD917672:AYD917673 BHZ917672:BHZ917673 BRV917672:BRV917673 CBR917672:CBR917673 CLN917672:CLN917673 CVJ917672:CVJ917673 DFF917672:DFF917673 DPB917672:DPB917673 DYX917672:DYX917673 EIT917672:EIT917673 ESP917672:ESP917673 FCL917672:FCL917673 FMH917672:FMH917673 FWD917672:FWD917673 GFZ917672:GFZ917673 GPV917672:GPV917673 GZR917672:GZR917673 HJN917672:HJN917673 HTJ917672:HTJ917673 IDF917672:IDF917673 INB917672:INB917673 IWX917672:IWX917673 JGT917672:JGT917673 JQP917672:JQP917673 KAL917672:KAL917673 KKH917672:KKH917673 KUD917672:KUD917673 LDZ917672:LDZ917673 LNV917672:LNV917673 LXR917672:LXR917673 MHN917672:MHN917673 MRJ917672:MRJ917673 NBF917672:NBF917673 NLB917672:NLB917673 NUX917672:NUX917673 OET917672:OET917673 OOP917672:OOP917673 OYL917672:OYL917673 PIH917672:PIH917673 PSD917672:PSD917673 QBZ917672:QBZ917673 QLV917672:QLV917673 QVR917672:QVR917673 RFN917672:RFN917673 RPJ917672:RPJ917673 RZF917672:RZF917673 SJB917672:SJB917673 SSX917672:SSX917673 TCT917672:TCT917673 TMP917672:TMP917673 TWL917672:TWL917673 UGH917672:UGH917673 UQD917672:UQD917673 UZZ917672:UZZ917673 VJV917672:VJV917673 VTR917672:VTR917673 WDN917672:WDN917673 WNJ917672:WNJ917673 WXF917672:WXF917673 AX983208:AX983209 KT983208:KT983209 UP983208:UP983209 AEL983208:AEL983209 AOH983208:AOH983209 AYD983208:AYD983209 BHZ983208:BHZ983209 BRV983208:BRV983209 CBR983208:CBR983209 CLN983208:CLN983209 CVJ983208:CVJ983209 DFF983208:DFF983209 DPB983208:DPB983209 DYX983208:DYX983209 EIT983208:EIT983209 ESP983208:ESP983209 FCL983208:FCL983209 FMH983208:FMH983209 FWD983208:FWD983209 GFZ983208:GFZ983209 GPV983208:GPV983209 GZR983208:GZR983209 HJN983208:HJN983209 HTJ983208:HTJ983209 IDF983208:IDF983209 INB983208:INB983209 IWX983208:IWX983209 JGT983208:JGT983209 JQP983208:JQP983209 KAL983208:KAL983209 KKH983208:KKH983209 KUD983208:KUD983209 LDZ983208:LDZ983209 LNV983208:LNV983209 LXR983208:LXR983209 MHN983208:MHN983209 MRJ983208:MRJ983209 NBF983208:NBF983209 NLB983208:NLB983209 NUX983208:NUX983209 OET983208:OET983209 OOP983208:OOP983209 OYL983208:OYL983209 PIH983208:PIH983209 PSD983208:PSD983209 QBZ983208:QBZ983209 QLV983208:QLV983209 QVR983208:QVR983209 RFN983208:RFN983209 RPJ983208:RPJ983209 RZF983208:RZF983209 SJB983208:SJB983209 SSX983208:SSX983209 TCT983208:TCT983209 TMP983208:TMP983209 TWL983208:TWL983209 UGH983208:UGH983209 UQD983208:UQD983209 UZZ983208:UZZ983209 VJV983208:VJV983209 VTR983208:VTR983209 WDN983208:WDN983209 WNJ983208:WNJ983209 WXF983208:WXF983209 I83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I65628 JE65628 TA65628 ACW65628 AMS65628 AWO65628 BGK65628 BQG65628 CAC65628 CJY65628 CTU65628 DDQ65628 DNM65628 DXI65628 EHE65628 ERA65628 FAW65628 FKS65628 FUO65628 GEK65628 GOG65628 GYC65628 HHY65628 HRU65628 IBQ65628 ILM65628 IVI65628 JFE65628 JPA65628 JYW65628 KIS65628 KSO65628 LCK65628 LMG65628 LWC65628 MFY65628 MPU65628 MZQ65628 NJM65628 NTI65628 ODE65628 ONA65628 OWW65628 PGS65628 PQO65628 QAK65628 QKG65628 QUC65628 RDY65628 RNU65628 RXQ65628 SHM65628 SRI65628 TBE65628 TLA65628 TUW65628 UES65628 UOO65628 UYK65628 VIG65628 VSC65628 WBY65628 WLU65628 WVQ65628 I131164 JE131164 TA131164 ACW131164 AMS131164 AWO131164 BGK131164 BQG131164 CAC131164 CJY131164 CTU131164 DDQ131164 DNM131164 DXI131164 EHE131164 ERA131164 FAW131164 FKS131164 FUO131164 GEK131164 GOG131164 GYC131164 HHY131164 HRU131164 IBQ131164 ILM131164 IVI131164 JFE131164 JPA131164 JYW131164 KIS131164 KSO131164 LCK131164 LMG131164 LWC131164 MFY131164 MPU131164 MZQ131164 NJM131164 NTI131164 ODE131164 ONA131164 OWW131164 PGS131164 PQO131164 QAK131164 QKG131164 QUC131164 RDY131164 RNU131164 RXQ131164 SHM131164 SRI131164 TBE131164 TLA131164 TUW131164 UES131164 UOO131164 UYK131164 VIG131164 VSC131164 WBY131164 WLU131164 WVQ131164 I196700 JE196700 TA196700 ACW196700 AMS196700 AWO196700 BGK196700 BQG196700 CAC196700 CJY196700 CTU196700 DDQ196700 DNM196700 DXI196700 EHE196700 ERA196700 FAW196700 FKS196700 FUO196700 GEK196700 GOG196700 GYC196700 HHY196700 HRU196700 IBQ196700 ILM196700 IVI196700 JFE196700 JPA196700 JYW196700 KIS196700 KSO196700 LCK196700 LMG196700 LWC196700 MFY196700 MPU196700 MZQ196700 NJM196700 NTI196700 ODE196700 ONA196700 OWW196700 PGS196700 PQO196700 QAK196700 QKG196700 QUC196700 RDY196700 RNU196700 RXQ196700 SHM196700 SRI196700 TBE196700 TLA196700 TUW196700 UES196700 UOO196700 UYK196700 VIG196700 VSC196700 WBY196700 WLU196700 WVQ196700 I262236 JE262236 TA262236 ACW262236 AMS262236 AWO262236 BGK262236 BQG262236 CAC262236 CJY262236 CTU262236 DDQ262236 DNM262236 DXI262236 EHE262236 ERA262236 FAW262236 FKS262236 FUO262236 GEK262236 GOG262236 GYC262236 HHY262236 HRU262236 IBQ262236 ILM262236 IVI262236 JFE262236 JPA262236 JYW262236 KIS262236 KSO262236 LCK262236 LMG262236 LWC262236 MFY262236 MPU262236 MZQ262236 NJM262236 NTI262236 ODE262236 ONA262236 OWW262236 PGS262236 PQO262236 QAK262236 QKG262236 QUC262236 RDY262236 RNU262236 RXQ262236 SHM262236 SRI262236 TBE262236 TLA262236 TUW262236 UES262236 UOO262236 UYK262236 VIG262236 VSC262236 WBY262236 WLU262236 WVQ262236 I327772 JE327772 TA327772 ACW327772 AMS327772 AWO327772 BGK327772 BQG327772 CAC327772 CJY327772 CTU327772 DDQ327772 DNM327772 DXI327772 EHE327772 ERA327772 FAW327772 FKS327772 FUO327772 GEK327772 GOG327772 GYC327772 HHY327772 HRU327772 IBQ327772 ILM327772 IVI327772 JFE327772 JPA327772 JYW327772 KIS327772 KSO327772 LCK327772 LMG327772 LWC327772 MFY327772 MPU327772 MZQ327772 NJM327772 NTI327772 ODE327772 ONA327772 OWW327772 PGS327772 PQO327772 QAK327772 QKG327772 QUC327772 RDY327772 RNU327772 RXQ327772 SHM327772 SRI327772 TBE327772 TLA327772 TUW327772 UES327772 UOO327772 UYK327772 VIG327772 VSC327772 WBY327772 WLU327772 WVQ327772 I393308 JE393308 TA393308 ACW393308 AMS393308 AWO393308 BGK393308 BQG393308 CAC393308 CJY393308 CTU393308 DDQ393308 DNM393308 DXI393308 EHE393308 ERA393308 FAW393308 FKS393308 FUO393308 GEK393308 GOG393308 GYC393308 HHY393308 HRU393308 IBQ393308 ILM393308 IVI393308 JFE393308 JPA393308 JYW393308 KIS393308 KSO393308 LCK393308 LMG393308 LWC393308 MFY393308 MPU393308 MZQ393308 NJM393308 NTI393308 ODE393308 ONA393308 OWW393308 PGS393308 PQO393308 QAK393308 QKG393308 QUC393308 RDY393308 RNU393308 RXQ393308 SHM393308 SRI393308 TBE393308 TLA393308 TUW393308 UES393308 UOO393308 UYK393308 VIG393308 VSC393308 WBY393308 WLU393308 WVQ393308 I458844 JE458844 TA458844 ACW458844 AMS458844 AWO458844 BGK458844 BQG458844 CAC458844 CJY458844 CTU458844 DDQ458844 DNM458844 DXI458844 EHE458844 ERA458844 FAW458844 FKS458844 FUO458844 GEK458844 GOG458844 GYC458844 HHY458844 HRU458844 IBQ458844 ILM458844 IVI458844 JFE458844 JPA458844 JYW458844 KIS458844 KSO458844 LCK458844 LMG458844 LWC458844 MFY458844 MPU458844 MZQ458844 NJM458844 NTI458844 ODE458844 ONA458844 OWW458844 PGS458844 PQO458844 QAK458844 QKG458844 QUC458844 RDY458844 RNU458844 RXQ458844 SHM458844 SRI458844 TBE458844 TLA458844 TUW458844 UES458844 UOO458844 UYK458844 VIG458844 VSC458844 WBY458844 WLU458844 WVQ458844 I524380 JE524380 TA524380 ACW524380 AMS524380 AWO524380 BGK524380 BQG524380 CAC524380 CJY524380 CTU524380 DDQ524380 DNM524380 DXI524380 EHE524380 ERA524380 FAW524380 FKS524380 FUO524380 GEK524380 GOG524380 GYC524380 HHY524380 HRU524380 IBQ524380 ILM524380 IVI524380 JFE524380 JPA524380 JYW524380 KIS524380 KSO524380 LCK524380 LMG524380 LWC524380 MFY524380 MPU524380 MZQ524380 NJM524380 NTI524380 ODE524380 ONA524380 OWW524380 PGS524380 PQO524380 QAK524380 QKG524380 QUC524380 RDY524380 RNU524380 RXQ524380 SHM524380 SRI524380 TBE524380 TLA524380 TUW524380 UES524380 UOO524380 UYK524380 VIG524380 VSC524380 WBY524380 WLU524380 WVQ524380 I589916 JE589916 TA589916 ACW589916 AMS589916 AWO589916 BGK589916 BQG589916 CAC589916 CJY589916 CTU589916 DDQ589916 DNM589916 DXI589916 EHE589916 ERA589916 FAW589916 FKS589916 FUO589916 GEK589916 GOG589916 GYC589916 HHY589916 HRU589916 IBQ589916 ILM589916 IVI589916 JFE589916 JPA589916 JYW589916 KIS589916 KSO589916 LCK589916 LMG589916 LWC589916 MFY589916 MPU589916 MZQ589916 NJM589916 NTI589916 ODE589916 ONA589916 OWW589916 PGS589916 PQO589916 QAK589916 QKG589916 QUC589916 RDY589916 RNU589916 RXQ589916 SHM589916 SRI589916 TBE589916 TLA589916 TUW589916 UES589916 UOO589916 UYK589916 VIG589916 VSC589916 WBY589916 WLU589916 WVQ589916 I655452 JE655452 TA655452 ACW655452 AMS655452 AWO655452 BGK655452 BQG655452 CAC655452 CJY655452 CTU655452 DDQ655452 DNM655452 DXI655452 EHE655452 ERA655452 FAW655452 FKS655452 FUO655452 GEK655452 GOG655452 GYC655452 HHY655452 HRU655452 IBQ655452 ILM655452 IVI655452 JFE655452 JPA655452 JYW655452 KIS655452 KSO655452 LCK655452 LMG655452 LWC655452 MFY655452 MPU655452 MZQ655452 NJM655452 NTI655452 ODE655452 ONA655452 OWW655452 PGS655452 PQO655452 QAK655452 QKG655452 QUC655452 RDY655452 RNU655452 RXQ655452 SHM655452 SRI655452 TBE655452 TLA655452 TUW655452 UES655452 UOO655452 UYK655452 VIG655452 VSC655452 WBY655452 WLU655452 WVQ655452 I720988 JE720988 TA720988 ACW720988 AMS720988 AWO720988 BGK720988 BQG720988 CAC720988 CJY720988 CTU720988 DDQ720988 DNM720988 DXI720988 EHE720988 ERA720988 FAW720988 FKS720988 FUO720988 GEK720988 GOG720988 GYC720988 HHY720988 HRU720988 IBQ720988 ILM720988 IVI720988 JFE720988 JPA720988 JYW720988 KIS720988 KSO720988 LCK720988 LMG720988 LWC720988 MFY720988 MPU720988 MZQ720988 NJM720988 NTI720988 ODE720988 ONA720988 OWW720988 PGS720988 PQO720988 QAK720988 QKG720988 QUC720988 RDY720988 RNU720988 RXQ720988 SHM720988 SRI720988 TBE720988 TLA720988 TUW720988 UES720988 UOO720988 UYK720988 VIG720988 VSC720988 WBY720988 WLU720988 WVQ720988 I786524 JE786524 TA786524 ACW786524 AMS786524 AWO786524 BGK786524 BQG786524 CAC786524 CJY786524 CTU786524 DDQ786524 DNM786524 DXI786524 EHE786524 ERA786524 FAW786524 FKS786524 FUO786524 GEK786524 GOG786524 GYC786524 HHY786524 HRU786524 IBQ786524 ILM786524 IVI786524 JFE786524 JPA786524 JYW786524 KIS786524 KSO786524 LCK786524 LMG786524 LWC786524 MFY786524 MPU786524 MZQ786524 NJM786524 NTI786524 ODE786524 ONA786524 OWW786524 PGS786524 PQO786524 QAK786524 QKG786524 QUC786524 RDY786524 RNU786524 RXQ786524 SHM786524 SRI786524 TBE786524 TLA786524 TUW786524 UES786524 UOO786524 UYK786524 VIG786524 VSC786524 WBY786524 WLU786524 WVQ786524 I852060 JE852060 TA852060 ACW852060 AMS852060 AWO852060 BGK852060 BQG852060 CAC852060 CJY852060 CTU852060 DDQ852060 DNM852060 DXI852060 EHE852060 ERA852060 FAW852060 FKS852060 FUO852060 GEK852060 GOG852060 GYC852060 HHY852060 HRU852060 IBQ852060 ILM852060 IVI852060 JFE852060 JPA852060 JYW852060 KIS852060 KSO852060 LCK852060 LMG852060 LWC852060 MFY852060 MPU852060 MZQ852060 NJM852060 NTI852060 ODE852060 ONA852060 OWW852060 PGS852060 PQO852060 QAK852060 QKG852060 QUC852060 RDY852060 RNU852060 RXQ852060 SHM852060 SRI852060 TBE852060 TLA852060 TUW852060 UES852060 UOO852060 UYK852060 VIG852060 VSC852060 WBY852060 WLU852060 WVQ852060 I917596 JE917596 TA917596 ACW917596 AMS917596 AWO917596 BGK917596 BQG917596 CAC917596 CJY917596 CTU917596 DDQ917596 DNM917596 DXI917596 EHE917596 ERA917596 FAW917596 FKS917596 FUO917596 GEK917596 GOG917596 GYC917596 HHY917596 HRU917596 IBQ917596 ILM917596 IVI917596 JFE917596 JPA917596 JYW917596 KIS917596 KSO917596 LCK917596 LMG917596 LWC917596 MFY917596 MPU917596 MZQ917596 NJM917596 NTI917596 ODE917596 ONA917596 OWW917596 PGS917596 PQO917596 QAK917596 QKG917596 QUC917596 RDY917596 RNU917596 RXQ917596 SHM917596 SRI917596 TBE917596 TLA917596 TUW917596 UES917596 UOO917596 UYK917596 VIG917596 VSC917596 WBY917596 WLU917596 WVQ917596 I983132 JE983132 TA983132 ACW983132 AMS983132 AWO983132 BGK983132 BQG983132 CAC983132 CJY983132 CTU983132 DDQ983132 DNM983132 DXI983132 EHE983132 ERA983132 FAW983132 FKS983132 FUO983132 GEK983132 GOG983132 GYC983132 HHY983132 HRU983132 IBQ983132 ILM983132 IVI983132 JFE983132 JPA983132 JYW983132 KIS983132 KSO983132 LCK983132 LMG983132 LWC983132 MFY983132 MPU983132 MZQ983132 NJM983132 NTI983132 ODE983132 ONA983132 OWW983132 PGS983132 PQO983132 QAK983132 QKG983132 QUC983132 RDY983132 RNU983132 RXQ983132 SHM983132 SRI983132 TBE983132 TLA983132 TUW983132 UES983132 UOO983132 UYK983132 VIG983132 VSC983132 WBY983132 WLU983132 WVQ983132 I90 JE90 TA90 ACW90 AMS90 AWO90 BGK90 BQG90 CAC90 CJY90 CTU90 DDQ90 DNM90 DXI90 EHE90 ERA90 FAW90 FKS90 FUO90 GEK90 GOG90 GYC90 HHY90 HRU90 IBQ90 ILM90 IVI90 JFE90 JPA90 JYW90 KIS90 KSO90 LCK90 LMG90 LWC90 MFY90 MPU90 MZQ90 NJM90 NTI90 ODE90 ONA90 OWW90 PGS90 PQO90 QAK90 QKG90 QUC90 RDY90 RNU90 RXQ90 SHM90 SRI90 TBE90 TLA90 TUW90 UES90 UOO90 UYK90 VIG90 VSC90 WBY90 WLU90 WVQ90 I65635 JE65635 TA65635 ACW65635 AMS65635 AWO65635 BGK65635 BQG65635 CAC65635 CJY65635 CTU65635 DDQ65635 DNM65635 DXI65635 EHE65635 ERA65635 FAW65635 FKS65635 FUO65635 GEK65635 GOG65635 GYC65635 HHY65635 HRU65635 IBQ65635 ILM65635 IVI65635 JFE65635 JPA65635 JYW65635 KIS65635 KSO65635 LCK65635 LMG65635 LWC65635 MFY65635 MPU65635 MZQ65635 NJM65635 NTI65635 ODE65635 ONA65635 OWW65635 PGS65635 PQO65635 QAK65635 QKG65635 QUC65635 RDY65635 RNU65635 RXQ65635 SHM65635 SRI65635 TBE65635 TLA65635 TUW65635 UES65635 UOO65635 UYK65635 VIG65635 VSC65635 WBY65635 WLU65635 WVQ65635 I131171 JE131171 TA131171 ACW131171 AMS131171 AWO131171 BGK131171 BQG131171 CAC131171 CJY131171 CTU131171 DDQ131171 DNM131171 DXI131171 EHE131171 ERA131171 FAW131171 FKS131171 FUO131171 GEK131171 GOG131171 GYC131171 HHY131171 HRU131171 IBQ131171 ILM131171 IVI131171 JFE131171 JPA131171 JYW131171 KIS131171 KSO131171 LCK131171 LMG131171 LWC131171 MFY131171 MPU131171 MZQ131171 NJM131171 NTI131171 ODE131171 ONA131171 OWW131171 PGS131171 PQO131171 QAK131171 QKG131171 QUC131171 RDY131171 RNU131171 RXQ131171 SHM131171 SRI131171 TBE131171 TLA131171 TUW131171 UES131171 UOO131171 UYK131171 VIG131171 VSC131171 WBY131171 WLU131171 WVQ131171 I196707 JE196707 TA196707 ACW196707 AMS196707 AWO196707 BGK196707 BQG196707 CAC196707 CJY196707 CTU196707 DDQ196707 DNM196707 DXI196707 EHE196707 ERA196707 FAW196707 FKS196707 FUO196707 GEK196707 GOG196707 GYC196707 HHY196707 HRU196707 IBQ196707 ILM196707 IVI196707 JFE196707 JPA196707 JYW196707 KIS196707 KSO196707 LCK196707 LMG196707 LWC196707 MFY196707 MPU196707 MZQ196707 NJM196707 NTI196707 ODE196707 ONA196707 OWW196707 PGS196707 PQO196707 QAK196707 QKG196707 QUC196707 RDY196707 RNU196707 RXQ196707 SHM196707 SRI196707 TBE196707 TLA196707 TUW196707 UES196707 UOO196707 UYK196707 VIG196707 VSC196707 WBY196707 WLU196707 WVQ196707 I262243 JE262243 TA262243 ACW262243 AMS262243 AWO262243 BGK262243 BQG262243 CAC262243 CJY262243 CTU262243 DDQ262243 DNM262243 DXI262243 EHE262243 ERA262243 FAW262243 FKS262243 FUO262243 GEK262243 GOG262243 GYC262243 HHY262243 HRU262243 IBQ262243 ILM262243 IVI262243 JFE262243 JPA262243 JYW262243 KIS262243 KSO262243 LCK262243 LMG262243 LWC262243 MFY262243 MPU262243 MZQ262243 NJM262243 NTI262243 ODE262243 ONA262243 OWW262243 PGS262243 PQO262243 QAK262243 QKG262243 QUC262243 RDY262243 RNU262243 RXQ262243 SHM262243 SRI262243 TBE262243 TLA262243 TUW262243 UES262243 UOO262243 UYK262243 VIG262243 VSC262243 WBY262243 WLU262243 WVQ262243 I327779 JE327779 TA327779 ACW327779 AMS327779 AWO327779 BGK327779 BQG327779 CAC327779 CJY327779 CTU327779 DDQ327779 DNM327779 DXI327779 EHE327779 ERA327779 FAW327779 FKS327779 FUO327779 GEK327779 GOG327779 GYC327779 HHY327779 HRU327779 IBQ327779 ILM327779 IVI327779 JFE327779 JPA327779 JYW327779 KIS327779 KSO327779 LCK327779 LMG327779 LWC327779 MFY327779 MPU327779 MZQ327779 NJM327779 NTI327779 ODE327779 ONA327779 OWW327779 PGS327779 PQO327779 QAK327779 QKG327779 QUC327779 RDY327779 RNU327779 RXQ327779 SHM327779 SRI327779 TBE327779 TLA327779 TUW327779 UES327779 UOO327779 UYK327779 VIG327779 VSC327779 WBY327779 WLU327779 WVQ327779 I393315 JE393315 TA393315 ACW393315 AMS393315 AWO393315 BGK393315 BQG393315 CAC393315 CJY393315 CTU393315 DDQ393315 DNM393315 DXI393315 EHE393315 ERA393315 FAW393315 FKS393315 FUO393315 GEK393315 GOG393315 GYC393315 HHY393315 HRU393315 IBQ393315 ILM393315 IVI393315 JFE393315 JPA393315 JYW393315 KIS393315 KSO393315 LCK393315 LMG393315 LWC393315 MFY393315 MPU393315 MZQ393315 NJM393315 NTI393315 ODE393315 ONA393315 OWW393315 PGS393315 PQO393315 QAK393315 QKG393315 QUC393315 RDY393315 RNU393315 RXQ393315 SHM393315 SRI393315 TBE393315 TLA393315 TUW393315 UES393315 UOO393315 UYK393315 VIG393315 VSC393315 WBY393315 WLU393315 WVQ393315 I458851 JE458851 TA458851 ACW458851 AMS458851 AWO458851 BGK458851 BQG458851 CAC458851 CJY458851 CTU458851 DDQ458851 DNM458851 DXI458851 EHE458851 ERA458851 FAW458851 FKS458851 FUO458851 GEK458851 GOG458851 GYC458851 HHY458851 HRU458851 IBQ458851 ILM458851 IVI458851 JFE458851 JPA458851 JYW458851 KIS458851 KSO458851 LCK458851 LMG458851 LWC458851 MFY458851 MPU458851 MZQ458851 NJM458851 NTI458851 ODE458851 ONA458851 OWW458851 PGS458851 PQO458851 QAK458851 QKG458851 QUC458851 RDY458851 RNU458851 RXQ458851 SHM458851 SRI458851 TBE458851 TLA458851 TUW458851 UES458851 UOO458851 UYK458851 VIG458851 VSC458851 WBY458851 WLU458851 WVQ458851 I524387 JE524387 TA524387 ACW524387 AMS524387 AWO524387 BGK524387 BQG524387 CAC524387 CJY524387 CTU524387 DDQ524387 DNM524387 DXI524387 EHE524387 ERA524387 FAW524387 FKS524387 FUO524387 GEK524387 GOG524387 GYC524387 HHY524387 HRU524387 IBQ524387 ILM524387 IVI524387 JFE524387 JPA524387 JYW524387 KIS524387 KSO524387 LCK524387 LMG524387 LWC524387 MFY524387 MPU524387 MZQ524387 NJM524387 NTI524387 ODE524387 ONA524387 OWW524387 PGS524387 PQO524387 QAK524387 QKG524387 QUC524387 RDY524387 RNU524387 RXQ524387 SHM524387 SRI524387 TBE524387 TLA524387 TUW524387 UES524387 UOO524387 UYK524387 VIG524387 VSC524387 WBY524387 WLU524387 WVQ524387 I589923 JE589923 TA589923 ACW589923 AMS589923 AWO589923 BGK589923 BQG589923 CAC589923 CJY589923 CTU589923 DDQ589923 DNM589923 DXI589923 EHE589923 ERA589923 FAW589923 FKS589923 FUO589923 GEK589923 GOG589923 GYC589923 HHY589923 HRU589923 IBQ589923 ILM589923 IVI589923 JFE589923 JPA589923 JYW589923 KIS589923 KSO589923 LCK589923 LMG589923 LWC589923 MFY589923 MPU589923 MZQ589923 NJM589923 NTI589923 ODE589923 ONA589923 OWW589923 PGS589923 PQO589923 QAK589923 QKG589923 QUC589923 RDY589923 RNU589923 RXQ589923 SHM589923 SRI589923 TBE589923 TLA589923 TUW589923 UES589923 UOO589923 UYK589923 VIG589923 VSC589923 WBY589923 WLU589923 WVQ589923 I655459 JE655459 TA655459 ACW655459 AMS655459 AWO655459 BGK655459 BQG655459 CAC655459 CJY655459 CTU655459 DDQ655459 DNM655459 DXI655459 EHE655459 ERA655459 FAW655459 FKS655459 FUO655459 GEK655459 GOG655459 GYC655459 HHY655459 HRU655459 IBQ655459 ILM655459 IVI655459 JFE655459 JPA655459 JYW655459 KIS655459 KSO655459 LCK655459 LMG655459 LWC655459 MFY655459 MPU655459 MZQ655459 NJM655459 NTI655459 ODE655459 ONA655459 OWW655459 PGS655459 PQO655459 QAK655459 QKG655459 QUC655459 RDY655459 RNU655459 RXQ655459 SHM655459 SRI655459 TBE655459 TLA655459 TUW655459 UES655459 UOO655459 UYK655459 VIG655459 VSC655459 WBY655459 WLU655459 WVQ655459 I720995 JE720995 TA720995 ACW720995 AMS720995 AWO720995 BGK720995 BQG720995 CAC720995 CJY720995 CTU720995 DDQ720995 DNM720995 DXI720995 EHE720995 ERA720995 FAW720995 FKS720995 FUO720995 GEK720995 GOG720995 GYC720995 HHY720995 HRU720995 IBQ720995 ILM720995 IVI720995 JFE720995 JPA720995 JYW720995 KIS720995 KSO720995 LCK720995 LMG720995 LWC720995 MFY720995 MPU720995 MZQ720995 NJM720995 NTI720995 ODE720995 ONA720995 OWW720995 PGS720995 PQO720995 QAK720995 QKG720995 QUC720995 RDY720995 RNU720995 RXQ720995 SHM720995 SRI720995 TBE720995 TLA720995 TUW720995 UES720995 UOO720995 UYK720995 VIG720995 VSC720995 WBY720995 WLU720995 WVQ720995 I786531 JE786531 TA786531 ACW786531 AMS786531 AWO786531 BGK786531 BQG786531 CAC786531 CJY786531 CTU786531 DDQ786531 DNM786531 DXI786531 EHE786531 ERA786531 FAW786531 FKS786531 FUO786531 GEK786531 GOG786531 GYC786531 HHY786531 HRU786531 IBQ786531 ILM786531 IVI786531 JFE786531 JPA786531 JYW786531 KIS786531 KSO786531 LCK786531 LMG786531 LWC786531 MFY786531 MPU786531 MZQ786531 NJM786531 NTI786531 ODE786531 ONA786531 OWW786531 PGS786531 PQO786531 QAK786531 QKG786531 QUC786531 RDY786531 RNU786531 RXQ786531 SHM786531 SRI786531 TBE786531 TLA786531 TUW786531 UES786531 UOO786531 UYK786531 VIG786531 VSC786531 WBY786531 WLU786531 WVQ786531 I852067 JE852067 TA852067 ACW852067 AMS852067 AWO852067 BGK852067 BQG852067 CAC852067 CJY852067 CTU852067 DDQ852067 DNM852067 DXI852067 EHE852067 ERA852067 FAW852067 FKS852067 FUO852067 GEK852067 GOG852067 GYC852067 HHY852067 HRU852067 IBQ852067 ILM852067 IVI852067 JFE852067 JPA852067 JYW852067 KIS852067 KSO852067 LCK852067 LMG852067 LWC852067 MFY852067 MPU852067 MZQ852067 NJM852067 NTI852067 ODE852067 ONA852067 OWW852067 PGS852067 PQO852067 QAK852067 QKG852067 QUC852067 RDY852067 RNU852067 RXQ852067 SHM852067 SRI852067 TBE852067 TLA852067 TUW852067 UES852067 UOO852067 UYK852067 VIG852067 VSC852067 WBY852067 WLU852067 WVQ852067 I917603 JE917603 TA917603 ACW917603 AMS917603 AWO917603 BGK917603 BQG917603 CAC917603 CJY917603 CTU917603 DDQ917603 DNM917603 DXI917603 EHE917603 ERA917603 FAW917603 FKS917603 FUO917603 GEK917603 GOG917603 GYC917603 HHY917603 HRU917603 IBQ917603 ILM917603 IVI917603 JFE917603 JPA917603 JYW917603 KIS917603 KSO917603 LCK917603 LMG917603 LWC917603 MFY917603 MPU917603 MZQ917603 NJM917603 NTI917603 ODE917603 ONA917603 OWW917603 PGS917603 PQO917603 QAK917603 QKG917603 QUC917603 RDY917603 RNU917603 RXQ917603 SHM917603 SRI917603 TBE917603 TLA917603 TUW917603 UES917603 UOO917603 UYK917603 VIG917603 VSC917603 WBY917603 WLU917603 WVQ917603 I983139 JE983139 TA983139 ACW983139 AMS983139 AWO983139 BGK983139 BQG983139 CAC983139 CJY983139 CTU983139 DDQ983139 DNM983139 DXI983139 EHE983139 ERA983139 FAW983139 FKS983139 FUO983139 GEK983139 GOG983139 GYC983139 HHY983139 HRU983139 IBQ983139 ILM983139 IVI983139 JFE983139 JPA983139 JYW983139 KIS983139 KSO983139 LCK983139 LMG983139 LWC983139 MFY983139 MPU983139 MZQ983139 NJM983139 NTI983139 ODE983139 ONA983139 OWW983139 PGS983139 PQO983139 QAK983139 QKG983139 QUC983139 RDY983139 RNU983139 RXQ983139 SHM983139 SRI983139 TBE983139 TLA983139 TUW983139 UES983139 UOO983139 UYK983139 VIG983139 VSC983139 WBY983139 WLU983139 WVQ983139 I92 JE92 TA92 ACW92 AMS92 AWO92 BGK92 BQG92 CAC92 CJY92 CTU92 DDQ92 DNM92 DXI92 EHE92 ERA92 FAW92 FKS92 FUO92 GEK92 GOG92 GYC92 HHY92 HRU92 IBQ92 ILM92 IVI92 JFE92 JPA92 JYW92 KIS92 KSO92 LCK92 LMG92 LWC92 MFY92 MPU92 MZQ92 NJM92 NTI92 ODE92 ONA92 OWW92 PGS92 PQO92 QAK92 QKG92 QUC92 RDY92 RNU92 RXQ92 SHM92 SRI92 TBE92 TLA92 TUW92 UES92 UOO92 UYK92 VIG92 VSC92 WBY92 WLU92 WVQ92 I65637 JE65637 TA65637 ACW65637 AMS65637 AWO65637 BGK65637 BQG65637 CAC65637 CJY65637 CTU65637 DDQ65637 DNM65637 DXI65637 EHE65637 ERA65637 FAW65637 FKS65637 FUO65637 GEK65637 GOG65637 GYC65637 HHY65637 HRU65637 IBQ65637 ILM65637 IVI65637 JFE65637 JPA65637 JYW65637 KIS65637 KSO65637 LCK65637 LMG65637 LWC65637 MFY65637 MPU65637 MZQ65637 NJM65637 NTI65637 ODE65637 ONA65637 OWW65637 PGS65637 PQO65637 QAK65637 QKG65637 QUC65637 RDY65637 RNU65637 RXQ65637 SHM65637 SRI65637 TBE65637 TLA65637 TUW65637 UES65637 UOO65637 UYK65637 VIG65637 VSC65637 WBY65637 WLU65637 WVQ65637 I131173 JE131173 TA131173 ACW131173 AMS131173 AWO131173 BGK131173 BQG131173 CAC131173 CJY131173 CTU131173 DDQ131173 DNM131173 DXI131173 EHE131173 ERA131173 FAW131173 FKS131173 FUO131173 GEK131173 GOG131173 GYC131173 HHY131173 HRU131173 IBQ131173 ILM131173 IVI131173 JFE131173 JPA131173 JYW131173 KIS131173 KSO131173 LCK131173 LMG131173 LWC131173 MFY131173 MPU131173 MZQ131173 NJM131173 NTI131173 ODE131173 ONA131173 OWW131173 PGS131173 PQO131173 QAK131173 QKG131173 QUC131173 RDY131173 RNU131173 RXQ131173 SHM131173 SRI131173 TBE131173 TLA131173 TUW131173 UES131173 UOO131173 UYK131173 VIG131173 VSC131173 WBY131173 WLU131173 WVQ131173 I196709 JE196709 TA196709 ACW196709 AMS196709 AWO196709 BGK196709 BQG196709 CAC196709 CJY196709 CTU196709 DDQ196709 DNM196709 DXI196709 EHE196709 ERA196709 FAW196709 FKS196709 FUO196709 GEK196709 GOG196709 GYC196709 HHY196709 HRU196709 IBQ196709 ILM196709 IVI196709 JFE196709 JPA196709 JYW196709 KIS196709 KSO196709 LCK196709 LMG196709 LWC196709 MFY196709 MPU196709 MZQ196709 NJM196709 NTI196709 ODE196709 ONA196709 OWW196709 PGS196709 PQO196709 QAK196709 QKG196709 QUC196709 RDY196709 RNU196709 RXQ196709 SHM196709 SRI196709 TBE196709 TLA196709 TUW196709 UES196709 UOO196709 UYK196709 VIG196709 VSC196709 WBY196709 WLU196709 WVQ196709 I262245 JE262245 TA262245 ACW262245 AMS262245 AWO262245 BGK262245 BQG262245 CAC262245 CJY262245 CTU262245 DDQ262245 DNM262245 DXI262245 EHE262245 ERA262245 FAW262245 FKS262245 FUO262245 GEK262245 GOG262245 GYC262245 HHY262245 HRU262245 IBQ262245 ILM262245 IVI262245 JFE262245 JPA262245 JYW262245 KIS262245 KSO262245 LCK262245 LMG262245 LWC262245 MFY262245 MPU262245 MZQ262245 NJM262245 NTI262245 ODE262245 ONA262245 OWW262245 PGS262245 PQO262245 QAK262245 QKG262245 QUC262245 RDY262245 RNU262245 RXQ262245 SHM262245 SRI262245 TBE262245 TLA262245 TUW262245 UES262245 UOO262245 UYK262245 VIG262245 VSC262245 WBY262245 WLU262245 WVQ262245 I327781 JE327781 TA327781 ACW327781 AMS327781 AWO327781 BGK327781 BQG327781 CAC327781 CJY327781 CTU327781 DDQ327781 DNM327781 DXI327781 EHE327781 ERA327781 FAW327781 FKS327781 FUO327781 GEK327781 GOG327781 GYC327781 HHY327781 HRU327781 IBQ327781 ILM327781 IVI327781 JFE327781 JPA327781 JYW327781 KIS327781 KSO327781 LCK327781 LMG327781 LWC327781 MFY327781 MPU327781 MZQ327781 NJM327781 NTI327781 ODE327781 ONA327781 OWW327781 PGS327781 PQO327781 QAK327781 QKG327781 QUC327781 RDY327781 RNU327781 RXQ327781 SHM327781 SRI327781 TBE327781 TLA327781 TUW327781 UES327781 UOO327781 UYK327781 VIG327781 VSC327781 WBY327781 WLU327781 WVQ327781 I393317 JE393317 TA393317 ACW393317 AMS393317 AWO393317 BGK393317 BQG393317 CAC393317 CJY393317 CTU393317 DDQ393317 DNM393317 DXI393317 EHE393317 ERA393317 FAW393317 FKS393317 FUO393317 GEK393317 GOG393317 GYC393317 HHY393317 HRU393317 IBQ393317 ILM393317 IVI393317 JFE393317 JPA393317 JYW393317 KIS393317 KSO393317 LCK393317 LMG393317 LWC393317 MFY393317 MPU393317 MZQ393317 NJM393317 NTI393317 ODE393317 ONA393317 OWW393317 PGS393317 PQO393317 QAK393317 QKG393317 QUC393317 RDY393317 RNU393317 RXQ393317 SHM393317 SRI393317 TBE393317 TLA393317 TUW393317 UES393317 UOO393317 UYK393317 VIG393317 VSC393317 WBY393317 WLU393317 WVQ393317 I458853 JE458853 TA458853 ACW458853 AMS458853 AWO458853 BGK458853 BQG458853 CAC458853 CJY458853 CTU458853 DDQ458853 DNM458853 DXI458853 EHE458853 ERA458853 FAW458853 FKS458853 FUO458853 GEK458853 GOG458853 GYC458853 HHY458853 HRU458853 IBQ458853 ILM458853 IVI458853 JFE458853 JPA458853 JYW458853 KIS458853 KSO458853 LCK458853 LMG458853 LWC458853 MFY458853 MPU458853 MZQ458853 NJM458853 NTI458853 ODE458853 ONA458853 OWW458853 PGS458853 PQO458853 QAK458853 QKG458853 QUC458853 RDY458853 RNU458853 RXQ458853 SHM458853 SRI458853 TBE458853 TLA458853 TUW458853 UES458853 UOO458853 UYK458853 VIG458853 VSC458853 WBY458853 WLU458853 WVQ458853 I524389 JE524389 TA524389 ACW524389 AMS524389 AWO524389 BGK524389 BQG524389 CAC524389 CJY524389 CTU524389 DDQ524389 DNM524389 DXI524389 EHE524389 ERA524389 FAW524389 FKS524389 FUO524389 GEK524389 GOG524389 GYC524389 HHY524389 HRU524389 IBQ524389 ILM524389 IVI524389 JFE524389 JPA524389 JYW524389 KIS524389 KSO524389 LCK524389 LMG524389 LWC524389 MFY524389 MPU524389 MZQ524389 NJM524389 NTI524389 ODE524389 ONA524389 OWW524389 PGS524389 PQO524389 QAK524389 QKG524389 QUC524389 RDY524389 RNU524389 RXQ524389 SHM524389 SRI524389 TBE524389 TLA524389 TUW524389 UES524389 UOO524389 UYK524389 VIG524389 VSC524389 WBY524389 WLU524389 WVQ524389 I589925 JE589925 TA589925 ACW589925 AMS589925 AWO589925 BGK589925 BQG589925 CAC589925 CJY589925 CTU589925 DDQ589925 DNM589925 DXI589925 EHE589925 ERA589925 FAW589925 FKS589925 FUO589925 GEK589925 GOG589925 GYC589925 HHY589925 HRU589925 IBQ589925 ILM589925 IVI589925 JFE589925 JPA589925 JYW589925 KIS589925 KSO589925 LCK589925 LMG589925 LWC589925 MFY589925 MPU589925 MZQ589925 NJM589925 NTI589925 ODE589925 ONA589925 OWW589925 PGS589925 PQO589925 QAK589925 QKG589925 QUC589925 RDY589925 RNU589925 RXQ589925 SHM589925 SRI589925 TBE589925 TLA589925 TUW589925 UES589925 UOO589925 UYK589925 VIG589925 VSC589925 WBY589925 WLU589925 WVQ589925 I655461 JE655461 TA655461 ACW655461 AMS655461 AWO655461 BGK655461 BQG655461 CAC655461 CJY655461 CTU655461 DDQ655461 DNM655461 DXI655461 EHE655461 ERA655461 FAW655461 FKS655461 FUO655461 GEK655461 GOG655461 GYC655461 HHY655461 HRU655461 IBQ655461 ILM655461 IVI655461 JFE655461 JPA655461 JYW655461 KIS655461 KSO655461 LCK655461 LMG655461 LWC655461 MFY655461 MPU655461 MZQ655461 NJM655461 NTI655461 ODE655461 ONA655461 OWW655461 PGS655461 PQO655461 QAK655461 QKG655461 QUC655461 RDY655461 RNU655461 RXQ655461 SHM655461 SRI655461 TBE655461 TLA655461 TUW655461 UES655461 UOO655461 UYK655461 VIG655461 VSC655461 WBY655461 WLU655461 WVQ655461 I720997 JE720997 TA720997 ACW720997 AMS720997 AWO720997 BGK720997 BQG720997 CAC720997 CJY720997 CTU720997 DDQ720997 DNM720997 DXI720997 EHE720997 ERA720997 FAW720997 FKS720997 FUO720997 GEK720997 GOG720997 GYC720997 HHY720997 HRU720997 IBQ720997 ILM720997 IVI720997 JFE720997 JPA720997 JYW720997 KIS720997 KSO720997 LCK720997 LMG720997 LWC720997 MFY720997 MPU720997 MZQ720997 NJM720997 NTI720997 ODE720997 ONA720997 OWW720997 PGS720997 PQO720997 QAK720997 QKG720997 QUC720997 RDY720997 RNU720997 RXQ720997 SHM720997 SRI720997 TBE720997 TLA720997 TUW720997 UES720997 UOO720997 UYK720997 VIG720997 VSC720997 WBY720997 WLU720997 WVQ720997 I786533 JE786533 TA786533 ACW786533 AMS786533 AWO786533 BGK786533 BQG786533 CAC786533 CJY786533 CTU786533 DDQ786533 DNM786533 DXI786533 EHE786533 ERA786533 FAW786533 FKS786533 FUO786533 GEK786533 GOG786533 GYC786533 HHY786533 HRU786533 IBQ786533 ILM786533 IVI786533 JFE786533 JPA786533 JYW786533 KIS786533 KSO786533 LCK786533 LMG786533 LWC786533 MFY786533 MPU786533 MZQ786533 NJM786533 NTI786533 ODE786533 ONA786533 OWW786533 PGS786533 PQO786533 QAK786533 QKG786533 QUC786533 RDY786533 RNU786533 RXQ786533 SHM786533 SRI786533 TBE786533 TLA786533 TUW786533 UES786533 UOO786533 UYK786533 VIG786533 VSC786533 WBY786533 WLU786533 WVQ786533 I852069 JE852069 TA852069 ACW852069 AMS852069 AWO852069 BGK852069 BQG852069 CAC852069 CJY852069 CTU852069 DDQ852069 DNM852069 DXI852069 EHE852069 ERA852069 FAW852069 FKS852069 FUO852069 GEK852069 GOG852069 GYC852069 HHY852069 HRU852069 IBQ852069 ILM852069 IVI852069 JFE852069 JPA852069 JYW852069 KIS852069 KSO852069 LCK852069 LMG852069 LWC852069 MFY852069 MPU852069 MZQ852069 NJM852069 NTI852069 ODE852069 ONA852069 OWW852069 PGS852069 PQO852069 QAK852069 QKG852069 QUC852069 RDY852069 RNU852069 RXQ852069 SHM852069 SRI852069 TBE852069 TLA852069 TUW852069 UES852069 UOO852069 UYK852069 VIG852069 VSC852069 WBY852069 WLU852069 WVQ852069 I917605 JE917605 TA917605 ACW917605 AMS917605 AWO917605 BGK917605 BQG917605 CAC917605 CJY917605 CTU917605 DDQ917605 DNM917605 DXI917605 EHE917605 ERA917605 FAW917605 FKS917605 FUO917605 GEK917605 GOG917605 GYC917605 HHY917605 HRU917605 IBQ917605 ILM917605 IVI917605 JFE917605 JPA917605 JYW917605 KIS917605 KSO917605 LCK917605 LMG917605 LWC917605 MFY917605 MPU917605 MZQ917605 NJM917605 NTI917605 ODE917605 ONA917605 OWW917605 PGS917605 PQO917605 QAK917605 QKG917605 QUC917605 RDY917605 RNU917605 RXQ917605 SHM917605 SRI917605 TBE917605 TLA917605 TUW917605 UES917605 UOO917605 UYK917605 VIG917605 VSC917605 WBY917605 WLU917605 WVQ917605 I983141 JE983141 TA983141 ACW983141 AMS983141 AWO983141 BGK983141 BQG983141 CAC983141 CJY983141 CTU983141 DDQ983141 DNM983141 DXI983141 EHE983141 ERA983141 FAW983141 FKS983141 FUO983141 GEK983141 GOG983141 GYC983141 HHY983141 HRU983141 IBQ983141 ILM983141 IVI983141 JFE983141 JPA983141 JYW983141 KIS983141 KSO983141 LCK983141 LMG983141 LWC983141 MFY983141 MPU983141 MZQ983141 NJM983141 NTI983141 ODE983141 ONA983141 OWW983141 PGS983141 PQO983141 QAK983141 QKG983141 QUC983141 RDY983141 RNU983141 RXQ983141 SHM983141 SRI983141 TBE983141 TLA983141 TUW983141 UES983141 UOO983141 UYK983141 VIG983141 VSC983141 WBY983141 WLU983141 WVQ983141 I94 JE94 TA94 ACW94 AMS94 AWO94 BGK94 BQG94 CAC94 CJY94 CTU94 DDQ94 DNM94 DXI94 EHE94 ERA94 FAW94 FKS94 FUO94 GEK94 GOG94 GYC94 HHY94 HRU94 IBQ94 ILM94 IVI94 JFE94 JPA94 JYW94 KIS94 KSO94 LCK94 LMG94 LWC94 MFY94 MPU94 MZQ94 NJM94 NTI94 ODE94 ONA94 OWW94 PGS94 PQO94 QAK94 QKG94 QUC94 RDY94 RNU94 RXQ94 SHM94 SRI94 TBE94 TLA94 TUW94 UES94 UOO94 UYK94 VIG94 VSC94 WBY94 WLU94 WVQ94 I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I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I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I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I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I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I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I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I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I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I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I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I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I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I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WVQ983134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I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I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I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I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I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I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I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I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I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I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I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I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I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I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I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I85 JE85 TA85 ACW85 AMS85 AWO85 BGK85 BQG85 CAC85 CJY85 CTU85 DDQ85 DNM85 DXI85 EHE85 ERA85 FAW85 FKS85 FUO85 GEK85 GOG85 GYC85 HHY85 HRU85 IBQ85 ILM85 IVI85 JFE85 JPA85 JYW85 KIS85 KSO85 LCK85 LMG85 LWC85 MFY85 MPU85 MZQ85 NJM85 NTI85 ODE85 ONA85 OWW85 PGS85 PQO85 QAK85 QKG85 QUC85 RDY85 RNU85 RXQ85 SHM85 SRI85 TBE85 TLA85 TUW85 UES85 UOO85 UYK85 VIG85 VSC85 WBY85 WLU85 WVQ85 I65630 JE65630 TA65630 ACW65630 AMS65630 AWO65630 BGK65630 BQG65630 CAC65630 CJY65630 CTU65630 DDQ65630 DNM65630 DXI65630 EHE65630 ERA65630 FAW65630 FKS65630 FUO65630 GEK65630 GOG65630 GYC65630 HHY65630 HRU65630 IBQ65630 ILM65630 IVI65630 JFE65630 JPA65630 JYW65630 KIS65630 KSO65630 LCK65630 LMG65630 LWC65630 MFY65630 MPU65630 MZQ65630 NJM65630 NTI65630 ODE65630 ONA65630 OWW65630 PGS65630 PQO65630 QAK65630 QKG65630 QUC65630 RDY65630 RNU65630 RXQ65630 SHM65630 SRI65630 TBE65630 TLA65630 TUW65630 UES65630 UOO65630 UYK65630 VIG65630 VSC65630 WBY65630 WLU65630 WVQ65630 I131166 JE131166 TA131166 ACW131166 AMS131166 AWO131166 BGK131166 BQG131166 CAC131166 CJY131166 CTU131166 DDQ131166 DNM131166 DXI131166 EHE131166 ERA131166 FAW131166 FKS131166 FUO131166 GEK131166 GOG131166 GYC131166 HHY131166 HRU131166 IBQ131166 ILM131166 IVI131166 JFE131166 JPA131166 JYW131166 KIS131166 KSO131166 LCK131166 LMG131166 LWC131166 MFY131166 MPU131166 MZQ131166 NJM131166 NTI131166 ODE131166 ONA131166 OWW131166 PGS131166 PQO131166 QAK131166 QKG131166 QUC131166 RDY131166 RNU131166 RXQ131166 SHM131166 SRI131166 TBE131166 TLA131166 TUW131166 UES131166 UOO131166 UYK131166 VIG131166 VSC131166 WBY131166 WLU131166 WVQ131166 I196702 JE196702 TA196702 ACW196702 AMS196702 AWO196702 BGK196702 BQG196702 CAC196702 CJY196702 CTU196702 DDQ196702 DNM196702 DXI196702 EHE196702 ERA196702 FAW196702 FKS196702 FUO196702 GEK196702 GOG196702 GYC196702 HHY196702 HRU196702 IBQ196702 ILM196702 IVI196702 JFE196702 JPA196702 JYW196702 KIS196702 KSO196702 LCK196702 LMG196702 LWC196702 MFY196702 MPU196702 MZQ196702 NJM196702 NTI196702 ODE196702 ONA196702 OWW196702 PGS196702 PQO196702 QAK196702 QKG196702 QUC196702 RDY196702 RNU196702 RXQ196702 SHM196702 SRI196702 TBE196702 TLA196702 TUW196702 UES196702 UOO196702 UYK196702 VIG196702 VSC196702 WBY196702 WLU196702 WVQ196702 I262238 JE262238 TA262238 ACW262238 AMS262238 AWO262238 BGK262238 BQG262238 CAC262238 CJY262238 CTU262238 DDQ262238 DNM262238 DXI262238 EHE262238 ERA262238 FAW262238 FKS262238 FUO262238 GEK262238 GOG262238 GYC262238 HHY262238 HRU262238 IBQ262238 ILM262238 IVI262238 JFE262238 JPA262238 JYW262238 KIS262238 KSO262238 LCK262238 LMG262238 LWC262238 MFY262238 MPU262238 MZQ262238 NJM262238 NTI262238 ODE262238 ONA262238 OWW262238 PGS262238 PQO262238 QAK262238 QKG262238 QUC262238 RDY262238 RNU262238 RXQ262238 SHM262238 SRI262238 TBE262238 TLA262238 TUW262238 UES262238 UOO262238 UYK262238 VIG262238 VSC262238 WBY262238 WLU262238 WVQ262238 I327774 JE327774 TA327774 ACW327774 AMS327774 AWO327774 BGK327774 BQG327774 CAC327774 CJY327774 CTU327774 DDQ327774 DNM327774 DXI327774 EHE327774 ERA327774 FAW327774 FKS327774 FUO327774 GEK327774 GOG327774 GYC327774 HHY327774 HRU327774 IBQ327774 ILM327774 IVI327774 JFE327774 JPA327774 JYW327774 KIS327774 KSO327774 LCK327774 LMG327774 LWC327774 MFY327774 MPU327774 MZQ327774 NJM327774 NTI327774 ODE327774 ONA327774 OWW327774 PGS327774 PQO327774 QAK327774 QKG327774 QUC327774 RDY327774 RNU327774 RXQ327774 SHM327774 SRI327774 TBE327774 TLA327774 TUW327774 UES327774 UOO327774 UYK327774 VIG327774 VSC327774 WBY327774 WLU327774 WVQ327774 I393310 JE393310 TA393310 ACW393310 AMS393310 AWO393310 BGK393310 BQG393310 CAC393310 CJY393310 CTU393310 DDQ393310 DNM393310 DXI393310 EHE393310 ERA393310 FAW393310 FKS393310 FUO393310 GEK393310 GOG393310 GYC393310 HHY393310 HRU393310 IBQ393310 ILM393310 IVI393310 JFE393310 JPA393310 JYW393310 KIS393310 KSO393310 LCK393310 LMG393310 LWC393310 MFY393310 MPU393310 MZQ393310 NJM393310 NTI393310 ODE393310 ONA393310 OWW393310 PGS393310 PQO393310 QAK393310 QKG393310 QUC393310 RDY393310 RNU393310 RXQ393310 SHM393310 SRI393310 TBE393310 TLA393310 TUW393310 UES393310 UOO393310 UYK393310 VIG393310 VSC393310 WBY393310 WLU393310 WVQ393310 I458846 JE458846 TA458846 ACW458846 AMS458846 AWO458846 BGK458846 BQG458846 CAC458846 CJY458846 CTU458846 DDQ458846 DNM458846 DXI458846 EHE458846 ERA458846 FAW458846 FKS458846 FUO458846 GEK458846 GOG458846 GYC458846 HHY458846 HRU458846 IBQ458846 ILM458846 IVI458846 JFE458846 JPA458846 JYW458846 KIS458846 KSO458846 LCK458846 LMG458846 LWC458846 MFY458846 MPU458846 MZQ458846 NJM458846 NTI458846 ODE458846 ONA458846 OWW458846 PGS458846 PQO458846 QAK458846 QKG458846 QUC458846 RDY458846 RNU458846 RXQ458846 SHM458846 SRI458846 TBE458846 TLA458846 TUW458846 UES458846 UOO458846 UYK458846 VIG458846 VSC458846 WBY458846 WLU458846 WVQ458846 I524382 JE524382 TA524382 ACW524382 AMS524382 AWO524382 BGK524382 BQG524382 CAC524382 CJY524382 CTU524382 DDQ524382 DNM524382 DXI524382 EHE524382 ERA524382 FAW524382 FKS524382 FUO524382 GEK524382 GOG524382 GYC524382 HHY524382 HRU524382 IBQ524382 ILM524382 IVI524382 JFE524382 JPA524382 JYW524382 KIS524382 KSO524382 LCK524382 LMG524382 LWC524382 MFY524382 MPU524382 MZQ524382 NJM524382 NTI524382 ODE524382 ONA524382 OWW524382 PGS524382 PQO524382 QAK524382 QKG524382 QUC524382 RDY524382 RNU524382 RXQ524382 SHM524382 SRI524382 TBE524382 TLA524382 TUW524382 UES524382 UOO524382 UYK524382 VIG524382 VSC524382 WBY524382 WLU524382 WVQ524382 I589918 JE589918 TA589918 ACW589918 AMS589918 AWO589918 BGK589918 BQG589918 CAC589918 CJY589918 CTU589918 DDQ589918 DNM589918 DXI589918 EHE589918 ERA589918 FAW589918 FKS589918 FUO589918 GEK589918 GOG589918 GYC589918 HHY589918 HRU589918 IBQ589918 ILM589918 IVI589918 JFE589918 JPA589918 JYW589918 KIS589918 KSO589918 LCK589918 LMG589918 LWC589918 MFY589918 MPU589918 MZQ589918 NJM589918 NTI589918 ODE589918 ONA589918 OWW589918 PGS589918 PQO589918 QAK589918 QKG589918 QUC589918 RDY589918 RNU589918 RXQ589918 SHM589918 SRI589918 TBE589918 TLA589918 TUW589918 UES589918 UOO589918 UYK589918 VIG589918 VSC589918 WBY589918 WLU589918 WVQ589918 I655454 JE655454 TA655454 ACW655454 AMS655454 AWO655454 BGK655454 BQG655454 CAC655454 CJY655454 CTU655454 DDQ655454 DNM655454 DXI655454 EHE655454 ERA655454 FAW655454 FKS655454 FUO655454 GEK655454 GOG655454 GYC655454 HHY655454 HRU655454 IBQ655454 ILM655454 IVI655454 JFE655454 JPA655454 JYW655454 KIS655454 KSO655454 LCK655454 LMG655454 LWC655454 MFY655454 MPU655454 MZQ655454 NJM655454 NTI655454 ODE655454 ONA655454 OWW655454 PGS655454 PQO655454 QAK655454 QKG655454 QUC655454 RDY655454 RNU655454 RXQ655454 SHM655454 SRI655454 TBE655454 TLA655454 TUW655454 UES655454 UOO655454 UYK655454 VIG655454 VSC655454 WBY655454 WLU655454 WVQ655454 I720990 JE720990 TA720990 ACW720990 AMS720990 AWO720990 BGK720990 BQG720990 CAC720990 CJY720990 CTU720990 DDQ720990 DNM720990 DXI720990 EHE720990 ERA720990 FAW720990 FKS720990 FUO720990 GEK720990 GOG720990 GYC720990 HHY720990 HRU720990 IBQ720990 ILM720990 IVI720990 JFE720990 JPA720990 JYW720990 KIS720990 KSO720990 LCK720990 LMG720990 LWC720990 MFY720990 MPU720990 MZQ720990 NJM720990 NTI720990 ODE720990 ONA720990 OWW720990 PGS720990 PQO720990 QAK720990 QKG720990 QUC720990 RDY720990 RNU720990 RXQ720990 SHM720990 SRI720990 TBE720990 TLA720990 TUW720990 UES720990 UOO720990 UYK720990 VIG720990 VSC720990 WBY720990 WLU720990 WVQ720990 I786526 JE786526 TA786526 ACW786526 AMS786526 AWO786526 BGK786526 BQG786526 CAC786526 CJY786526 CTU786526 DDQ786526 DNM786526 DXI786526 EHE786526 ERA786526 FAW786526 FKS786526 FUO786526 GEK786526 GOG786526 GYC786526 HHY786526 HRU786526 IBQ786526 ILM786526 IVI786526 JFE786526 JPA786526 JYW786526 KIS786526 KSO786526 LCK786526 LMG786526 LWC786526 MFY786526 MPU786526 MZQ786526 NJM786526 NTI786526 ODE786526 ONA786526 OWW786526 PGS786526 PQO786526 QAK786526 QKG786526 QUC786526 RDY786526 RNU786526 RXQ786526 SHM786526 SRI786526 TBE786526 TLA786526 TUW786526 UES786526 UOO786526 UYK786526 VIG786526 VSC786526 WBY786526 WLU786526 WVQ786526 I852062 JE852062 TA852062 ACW852062 AMS852062 AWO852062 BGK852062 BQG852062 CAC852062 CJY852062 CTU852062 DDQ852062 DNM852062 DXI852062 EHE852062 ERA852062 FAW852062 FKS852062 FUO852062 GEK852062 GOG852062 GYC852062 HHY852062 HRU852062 IBQ852062 ILM852062 IVI852062 JFE852062 JPA852062 JYW852062 KIS852062 KSO852062 LCK852062 LMG852062 LWC852062 MFY852062 MPU852062 MZQ852062 NJM852062 NTI852062 ODE852062 ONA852062 OWW852062 PGS852062 PQO852062 QAK852062 QKG852062 QUC852062 RDY852062 RNU852062 RXQ852062 SHM852062 SRI852062 TBE852062 TLA852062 TUW852062 UES852062 UOO852062 UYK852062 VIG852062 VSC852062 WBY852062 WLU852062 WVQ852062 I917598 JE917598 TA917598 ACW917598 AMS917598 AWO917598 BGK917598 BQG917598 CAC917598 CJY917598 CTU917598 DDQ917598 DNM917598 DXI917598 EHE917598 ERA917598 FAW917598 FKS917598 FUO917598 GEK917598 GOG917598 GYC917598 HHY917598 HRU917598 IBQ917598 ILM917598 IVI917598 JFE917598 JPA917598 JYW917598 KIS917598 KSO917598 LCK917598 LMG917598 LWC917598 MFY917598 MPU917598 MZQ917598 NJM917598 NTI917598 ODE917598 ONA917598 OWW917598 PGS917598 PQO917598 QAK917598 QKG917598 QUC917598 RDY917598 RNU917598 RXQ917598 SHM917598 SRI917598 TBE917598 TLA917598 TUW917598 UES917598 UOO917598 UYK917598 VIG917598 VSC917598 WBY917598 WLU917598 WVQ917598 I983134 JE983134 TA983134 ACW983134 AMS983134 AWO983134 BGK983134 BQG983134 CAC983134 CJY983134 CTU983134 DDQ983134 DNM983134 DXI983134 EHE983134 ERA983134 FAW983134 FKS983134 FUO983134 GEK983134 GOG983134 GYC983134 HHY983134 HRU983134 IBQ983134 ILM983134 IVI983134 JFE983134 JPA983134 JYW983134 KIS983134 KSO983134 LCK983134 LMG983134 LWC983134 MFY983134 MPU983134 MZQ983134 NJM983134 NTI983134 ODE983134 ONA983134 OWW983134 PGS983134 PQO983134 QAK983134 QKG983134 QUC983134 RDY983134 RNU983134 RXQ983134 SHM983134 SRI983134 TBE983134 TLA983134 TUW983134 UES983134 UOO983134 UYK983134 VIG983134 VSC983134 WBY983134 WLU983134" xr:uid="{00000000-0002-0000-0400-00000D000000}">
      <formula1>0</formula1>
      <formula2>10000000</formula2>
    </dataValidation>
    <dataValidation type="whole" errorStyle="warning" operator="equal" allowBlank="1" showInputMessage="1" showErrorMessage="1" error="This loan balance does not equal the amount included in Section 3 above - please review." sqref="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xr:uid="{00000000-0002-0000-0400-00000E000000}">
      <formula1>I65642</formula1>
    </dataValidation>
    <dataValidation type="whole" errorStyle="warning" operator="equal" allowBlank="1" showInputMessage="1" showErrorMessage="1" error="This loan balance does not equal the amount included in Section 3 above - please review." sqref="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28" xr:uid="{00000000-0002-0000-0400-00000F000000}">
      <formula1>I97</formula1>
    </dataValidation>
    <dataValidation type="list" allowBlank="1" showInputMessage="1" showErrorMessage="1" sqref="E34" xr:uid="{00000000-0002-0000-0400-000010000000}">
      <formula1>$N$62:$O$62</formula1>
    </dataValidation>
    <dataValidation type="list" allowBlank="1" showInputMessage="1" showErrorMessage="1" sqref="K7" xr:uid="{00000000-0002-0000-0400-000011000000}">
      <formula1>$O$60:$V$60</formula1>
    </dataValidation>
    <dataValidation type="list" allowBlank="1" showInputMessage="1" showErrorMessage="1" sqref="H34 H36:H37" xr:uid="{00000000-0002-0000-0400-000012000000}">
      <formula1>$O$3:$O$4</formula1>
    </dataValidation>
    <dataValidation type="whole" operator="greaterThanOrEqual" allowBlank="1" showInputMessage="1" showErrorMessage="1" sqref="N5 K9" xr:uid="{00000000-0002-0000-0400-000013000000}">
      <formula1>0</formula1>
    </dataValidation>
    <dataValidation type="list" allowBlank="1" showInputMessage="1" showErrorMessage="1" sqref="H32" xr:uid="{00000000-0002-0000-0400-000014000000}">
      <formula1>$O$82:$O$86</formula1>
    </dataValidation>
    <dataValidation errorStyle="warning" operator="lessThanOrEqual" allowBlank="1" showInputMessage="1" showErrorMessage="1" error="The proposed loan exceeds the maximum borrowing power" prompt="Minimum Loan Amount - €40,000. Minimum Equity Release €25,000" sqref="E28" xr:uid="{00000000-0002-0000-0400-000015000000}"/>
    <dataValidation type="list" allowBlank="1" showInputMessage="1" showErrorMessage="1" sqref="B45:C45" xr:uid="{00000000-0002-0000-0400-000016000000}">
      <formula1>$R$2:$R$3</formula1>
    </dataValidation>
    <dataValidation type="list" allowBlank="1" showInputMessage="1" showErrorMessage="1" sqref="B50:C50 I50:J50" xr:uid="{00000000-0002-0000-0400-000017000000}">
      <formula1>$W$1:$W$3</formula1>
    </dataValidation>
    <dataValidation type="list" allowBlank="1" showInputMessage="1" showErrorMessage="1" sqref="H30" xr:uid="{00000000-0002-0000-0400-000018000000}">
      <formula1>$O$28:$O$29</formula1>
    </dataValidation>
    <dataValidation type="list" allowBlank="1" showInputMessage="1" showErrorMessage="1" sqref="K36" xr:uid="{00000000-0002-0000-0400-000019000000}">
      <formula1>$O$96:$O$98</formula1>
    </dataValidation>
    <dataValidation type="whole" allowBlank="1" showInputMessage="1" showErrorMessage="1" errorTitle="Invalid Entry" error="Numeric Characters Only" prompt="NB ! _x000a_To be used for Maintenance Only" sqref="I87" xr:uid="{00000000-0002-0000-0400-00001A000000}">
      <formula1>0</formula1>
      <formula2>10000000</formula2>
    </dataValidation>
  </dataValidations>
  <printOptions horizontalCentered="1" verticalCentered="1"/>
  <pageMargins left="0" right="0" top="0" bottom="0" header="0.51181102362204722" footer="0.51181102362204722"/>
  <pageSetup paperSize="9" scale="39" orientation="portrait" r:id="rId1"/>
  <headerFooter alignWithMargins="0"/>
  <ignoredErrors>
    <ignoredError sqref="C40 K32 K3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2958" r:id="rId4" name="Button 14">
              <controlPr defaultSize="0" print="0" autoFill="0" autoPict="0" macro="[0]!GenerateHomeLoanLetter">
                <anchor moveWithCells="1" sizeWithCells="1">
                  <from>
                    <xdr:col>13</xdr:col>
                    <xdr:colOff>946150</xdr:colOff>
                    <xdr:row>157</xdr:row>
                    <xdr:rowOff>107950</xdr:rowOff>
                  </from>
                  <to>
                    <xdr:col>13</xdr:col>
                    <xdr:colOff>2971800</xdr:colOff>
                    <xdr:row>159</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0" operator="containsText" id="{0C905B8E-E8A5-4CD4-B632-21B199FDA48A}">
            <xm:f>NOT(ISERROR(SEARCH("Fail -  Requires Justification",I148)))</xm:f>
            <xm:f>"Fail -  Requires Justification"</xm:f>
            <x14:dxf>
              <fill>
                <patternFill>
                  <bgColor rgb="FFFFC000"/>
                </patternFill>
              </fill>
            </x14:dxf>
          </x14:cfRule>
          <x14:cfRule type="containsText" priority="41" operator="containsText" id="{4794CF6F-C58B-4EF5-90F0-3C5E1A005A4A}">
            <xm:f>NOT(ISERROR(SEARCH("Failed MDIR Criteria",I148)))</xm:f>
            <xm:f>"Failed MDIR Criteria"</xm:f>
            <x14:dxf>
              <font>
                <color theme="0"/>
              </font>
              <fill>
                <patternFill>
                  <bgColor rgb="FFFF0000"/>
                </patternFill>
              </fill>
            </x14:dxf>
          </x14:cfRule>
          <x14:cfRule type="containsText" priority="42" operator="containsText" id="{F892C78E-3580-41F9-B9F0-BBBCD35A7D43}">
            <xm:f>NOT(ISERROR(SEARCH("Passed MDIR Criteria",I148)))</xm:f>
            <xm:f>"Passed MDIR Criteria"</xm:f>
            <x14:dxf>
              <fill>
                <patternFill>
                  <bgColor rgb="FF92D050"/>
                </patternFill>
              </fill>
            </x14:dxf>
          </x14:cfRule>
          <x14:cfRule type="containsText" priority="44" operator="containsText" id="{A79CAA9A-546C-459F-A9BD-CC4A505685BC}">
            <xm:f>NOT(ISERROR(SEARCH("Fail -  Requires Comment",I148)))</xm:f>
            <xm:f>"Fail -  Requires Comment"</xm:f>
            <x14:dxf>
              <fill>
                <patternFill>
                  <bgColor rgb="FFFFC000"/>
                </patternFill>
              </fill>
            </x14:dxf>
          </x14:cfRule>
          <xm:sqref>I148:K148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WVI174"/>
  <sheetViews>
    <sheetView workbookViewId="0">
      <selection activeCell="A25" sqref="A25"/>
    </sheetView>
  </sheetViews>
  <sheetFormatPr defaultColWidth="0" defaultRowHeight="12.5" x14ac:dyDescent="0.25"/>
  <cols>
    <col min="1" max="1" width="98.7265625" style="49" customWidth="1"/>
    <col min="2" max="7" width="14.54296875" style="7" hidden="1" customWidth="1"/>
    <col min="8" max="8" width="37.54296875" style="7" hidden="1" customWidth="1"/>
    <col min="9" max="256" width="9.1796875" style="7" hidden="1" customWidth="1"/>
    <col min="257" max="257" width="98.7265625" style="7" hidden="1" customWidth="1"/>
    <col min="258" max="270" width="0" style="7" hidden="1" customWidth="1"/>
    <col min="271" max="512" width="0" style="7" hidden="1"/>
    <col min="513" max="513" width="98.7265625" style="7" hidden="1" customWidth="1"/>
    <col min="514" max="526" width="0" style="7" hidden="1" customWidth="1"/>
    <col min="527" max="768" width="0" style="7" hidden="1"/>
    <col min="769" max="769" width="98.7265625" style="7" hidden="1" customWidth="1"/>
    <col min="770" max="782" width="0" style="7" hidden="1" customWidth="1"/>
    <col min="783" max="1024" width="0" style="7" hidden="1"/>
    <col min="1025" max="1025" width="98.7265625" style="7" hidden="1" customWidth="1"/>
    <col min="1026" max="1038" width="0" style="7" hidden="1" customWidth="1"/>
    <col min="1039" max="1280" width="0" style="7" hidden="1"/>
    <col min="1281" max="1281" width="98.7265625" style="7" hidden="1" customWidth="1"/>
    <col min="1282" max="1294" width="0" style="7" hidden="1" customWidth="1"/>
    <col min="1295" max="1536" width="0" style="7" hidden="1"/>
    <col min="1537" max="1537" width="98.7265625" style="7" hidden="1" customWidth="1"/>
    <col min="1538" max="1550" width="0" style="7" hidden="1" customWidth="1"/>
    <col min="1551" max="1792" width="0" style="7" hidden="1"/>
    <col min="1793" max="1793" width="98.7265625" style="7" hidden="1" customWidth="1"/>
    <col min="1794" max="1806" width="0" style="7" hidden="1" customWidth="1"/>
    <col min="1807" max="2048" width="0" style="7" hidden="1"/>
    <col min="2049" max="2049" width="98.7265625" style="7" hidden="1" customWidth="1"/>
    <col min="2050" max="2062" width="0" style="7" hidden="1" customWidth="1"/>
    <col min="2063" max="2304" width="0" style="7" hidden="1"/>
    <col min="2305" max="2305" width="98.7265625" style="7" hidden="1" customWidth="1"/>
    <col min="2306" max="2318" width="0" style="7" hidden="1" customWidth="1"/>
    <col min="2319" max="2560" width="0" style="7" hidden="1"/>
    <col min="2561" max="2561" width="98.7265625" style="7" hidden="1" customWidth="1"/>
    <col min="2562" max="2574" width="0" style="7" hidden="1" customWidth="1"/>
    <col min="2575" max="2816" width="0" style="7" hidden="1"/>
    <col min="2817" max="2817" width="98.7265625" style="7" hidden="1" customWidth="1"/>
    <col min="2818" max="2830" width="0" style="7" hidden="1" customWidth="1"/>
    <col min="2831" max="3072" width="0" style="7" hidden="1"/>
    <col min="3073" max="3073" width="98.7265625" style="7" hidden="1" customWidth="1"/>
    <col min="3074" max="3086" width="0" style="7" hidden="1" customWidth="1"/>
    <col min="3087" max="3328" width="0" style="7" hidden="1"/>
    <col min="3329" max="3329" width="98.7265625" style="7" hidden="1" customWidth="1"/>
    <col min="3330" max="3342" width="0" style="7" hidden="1" customWidth="1"/>
    <col min="3343" max="3584" width="0" style="7" hidden="1"/>
    <col min="3585" max="3585" width="98.7265625" style="7" hidden="1" customWidth="1"/>
    <col min="3586" max="3598" width="0" style="7" hidden="1" customWidth="1"/>
    <col min="3599" max="3840" width="0" style="7" hidden="1"/>
    <col min="3841" max="3841" width="98.7265625" style="7" hidden="1" customWidth="1"/>
    <col min="3842" max="3854" width="0" style="7" hidden="1" customWidth="1"/>
    <col min="3855" max="4096" width="0" style="7" hidden="1"/>
    <col min="4097" max="4097" width="98.7265625" style="7" hidden="1" customWidth="1"/>
    <col min="4098" max="4110" width="0" style="7" hidden="1" customWidth="1"/>
    <col min="4111" max="4352" width="0" style="7" hidden="1"/>
    <col min="4353" max="4353" width="98.7265625" style="7" hidden="1" customWidth="1"/>
    <col min="4354" max="4366" width="0" style="7" hidden="1" customWidth="1"/>
    <col min="4367" max="4608" width="0" style="7" hidden="1"/>
    <col min="4609" max="4609" width="98.7265625" style="7" hidden="1" customWidth="1"/>
    <col min="4610" max="4622" width="0" style="7" hidden="1" customWidth="1"/>
    <col min="4623" max="4864" width="0" style="7" hidden="1"/>
    <col min="4865" max="4865" width="98.7265625" style="7" hidden="1" customWidth="1"/>
    <col min="4866" max="4878" width="0" style="7" hidden="1" customWidth="1"/>
    <col min="4879" max="5120" width="0" style="7" hidden="1"/>
    <col min="5121" max="5121" width="98.7265625" style="7" hidden="1" customWidth="1"/>
    <col min="5122" max="5134" width="0" style="7" hidden="1" customWidth="1"/>
    <col min="5135" max="5376" width="0" style="7" hidden="1"/>
    <col min="5377" max="5377" width="98.7265625" style="7" hidden="1" customWidth="1"/>
    <col min="5378" max="5390" width="0" style="7" hidden="1" customWidth="1"/>
    <col min="5391" max="5632" width="0" style="7" hidden="1"/>
    <col min="5633" max="5633" width="98.7265625" style="7" hidden="1" customWidth="1"/>
    <col min="5634" max="5646" width="0" style="7" hidden="1" customWidth="1"/>
    <col min="5647" max="5888" width="0" style="7" hidden="1"/>
    <col min="5889" max="5889" width="98.7265625" style="7" hidden="1" customWidth="1"/>
    <col min="5890" max="5902" width="0" style="7" hidden="1" customWidth="1"/>
    <col min="5903" max="6144" width="0" style="7" hidden="1"/>
    <col min="6145" max="6145" width="98.7265625" style="7" hidden="1" customWidth="1"/>
    <col min="6146" max="6158" width="0" style="7" hidden="1" customWidth="1"/>
    <col min="6159" max="6400" width="0" style="7" hidden="1"/>
    <col min="6401" max="6401" width="98.7265625" style="7" hidden="1" customWidth="1"/>
    <col min="6402" max="6414" width="0" style="7" hidden="1" customWidth="1"/>
    <col min="6415" max="6656" width="0" style="7" hidden="1"/>
    <col min="6657" max="6657" width="98.7265625" style="7" hidden="1" customWidth="1"/>
    <col min="6658" max="6670" width="0" style="7" hidden="1" customWidth="1"/>
    <col min="6671" max="6912" width="0" style="7" hidden="1"/>
    <col min="6913" max="6913" width="98.7265625" style="7" hidden="1" customWidth="1"/>
    <col min="6914" max="6926" width="0" style="7" hidden="1" customWidth="1"/>
    <col min="6927" max="7168" width="0" style="7" hidden="1"/>
    <col min="7169" max="7169" width="98.7265625" style="7" hidden="1" customWidth="1"/>
    <col min="7170" max="7182" width="0" style="7" hidden="1" customWidth="1"/>
    <col min="7183" max="7424" width="0" style="7" hidden="1"/>
    <col min="7425" max="7425" width="98.7265625" style="7" hidden="1" customWidth="1"/>
    <col min="7426" max="7438" width="0" style="7" hidden="1" customWidth="1"/>
    <col min="7439" max="7680" width="0" style="7" hidden="1"/>
    <col min="7681" max="7681" width="98.7265625" style="7" hidden="1" customWidth="1"/>
    <col min="7682" max="7694" width="0" style="7" hidden="1" customWidth="1"/>
    <col min="7695" max="7936" width="0" style="7" hidden="1"/>
    <col min="7937" max="7937" width="98.7265625" style="7" hidden="1" customWidth="1"/>
    <col min="7938" max="7950" width="0" style="7" hidden="1" customWidth="1"/>
    <col min="7951" max="8192" width="0" style="7" hidden="1"/>
    <col min="8193" max="8193" width="98.7265625" style="7" hidden="1" customWidth="1"/>
    <col min="8194" max="8206" width="0" style="7" hidden="1" customWidth="1"/>
    <col min="8207" max="8448" width="0" style="7" hidden="1"/>
    <col min="8449" max="8449" width="98.7265625" style="7" hidden="1" customWidth="1"/>
    <col min="8450" max="8462" width="0" style="7" hidden="1" customWidth="1"/>
    <col min="8463" max="8704" width="0" style="7" hidden="1"/>
    <col min="8705" max="8705" width="98.7265625" style="7" hidden="1" customWidth="1"/>
    <col min="8706" max="8718" width="0" style="7" hidden="1" customWidth="1"/>
    <col min="8719" max="8960" width="0" style="7" hidden="1"/>
    <col min="8961" max="8961" width="98.7265625" style="7" hidden="1" customWidth="1"/>
    <col min="8962" max="8974" width="0" style="7" hidden="1" customWidth="1"/>
    <col min="8975" max="9216" width="0" style="7" hidden="1"/>
    <col min="9217" max="9217" width="98.7265625" style="7" hidden="1" customWidth="1"/>
    <col min="9218" max="9230" width="0" style="7" hidden="1" customWidth="1"/>
    <col min="9231" max="9472" width="0" style="7" hidden="1"/>
    <col min="9473" max="9473" width="98.7265625" style="7" hidden="1" customWidth="1"/>
    <col min="9474" max="9486" width="0" style="7" hidden="1" customWidth="1"/>
    <col min="9487" max="9728" width="0" style="7" hidden="1"/>
    <col min="9729" max="9729" width="98.7265625" style="7" hidden="1" customWidth="1"/>
    <col min="9730" max="9742" width="0" style="7" hidden="1" customWidth="1"/>
    <col min="9743" max="9984" width="0" style="7" hidden="1"/>
    <col min="9985" max="9985" width="98.7265625" style="7" hidden="1" customWidth="1"/>
    <col min="9986" max="9998" width="0" style="7" hidden="1" customWidth="1"/>
    <col min="9999" max="10240" width="0" style="7" hidden="1"/>
    <col min="10241" max="10241" width="98.7265625" style="7" hidden="1" customWidth="1"/>
    <col min="10242" max="10254" width="0" style="7" hidden="1" customWidth="1"/>
    <col min="10255" max="10496" width="0" style="7" hidden="1"/>
    <col min="10497" max="10497" width="98.7265625" style="7" hidden="1" customWidth="1"/>
    <col min="10498" max="10510" width="0" style="7" hidden="1" customWidth="1"/>
    <col min="10511" max="10752" width="0" style="7" hidden="1"/>
    <col min="10753" max="10753" width="98.7265625" style="7" hidden="1" customWidth="1"/>
    <col min="10754" max="10766" width="0" style="7" hidden="1" customWidth="1"/>
    <col min="10767" max="11008" width="0" style="7" hidden="1"/>
    <col min="11009" max="11009" width="98.7265625" style="7" hidden="1" customWidth="1"/>
    <col min="11010" max="11022" width="0" style="7" hidden="1" customWidth="1"/>
    <col min="11023" max="11264" width="0" style="7" hidden="1"/>
    <col min="11265" max="11265" width="98.7265625" style="7" hidden="1" customWidth="1"/>
    <col min="11266" max="11278" width="0" style="7" hidden="1" customWidth="1"/>
    <col min="11279" max="11520" width="0" style="7" hidden="1"/>
    <col min="11521" max="11521" width="98.7265625" style="7" hidden="1" customWidth="1"/>
    <col min="11522" max="11534" width="0" style="7" hidden="1" customWidth="1"/>
    <col min="11535" max="11776" width="0" style="7" hidden="1"/>
    <col min="11777" max="11777" width="98.7265625" style="7" hidden="1" customWidth="1"/>
    <col min="11778" max="11790" width="0" style="7" hidden="1" customWidth="1"/>
    <col min="11791" max="12032" width="0" style="7" hidden="1"/>
    <col min="12033" max="12033" width="98.7265625" style="7" hidden="1" customWidth="1"/>
    <col min="12034" max="12046" width="0" style="7" hidden="1" customWidth="1"/>
    <col min="12047" max="12288" width="0" style="7" hidden="1"/>
    <col min="12289" max="12289" width="98.7265625" style="7" hidden="1" customWidth="1"/>
    <col min="12290" max="12302" width="0" style="7" hidden="1" customWidth="1"/>
    <col min="12303" max="12544" width="0" style="7" hidden="1"/>
    <col min="12545" max="12545" width="98.7265625" style="7" hidden="1" customWidth="1"/>
    <col min="12546" max="12558" width="0" style="7" hidden="1" customWidth="1"/>
    <col min="12559" max="12800" width="0" style="7" hidden="1"/>
    <col min="12801" max="12801" width="98.7265625" style="7" hidden="1" customWidth="1"/>
    <col min="12802" max="12814" width="0" style="7" hidden="1" customWidth="1"/>
    <col min="12815" max="13056" width="0" style="7" hidden="1"/>
    <col min="13057" max="13057" width="98.7265625" style="7" hidden="1" customWidth="1"/>
    <col min="13058" max="13070" width="0" style="7" hidden="1" customWidth="1"/>
    <col min="13071" max="13312" width="0" style="7" hidden="1"/>
    <col min="13313" max="13313" width="98.7265625" style="7" hidden="1" customWidth="1"/>
    <col min="13314" max="13326" width="0" style="7" hidden="1" customWidth="1"/>
    <col min="13327" max="13568" width="0" style="7" hidden="1"/>
    <col min="13569" max="13569" width="98.7265625" style="7" hidden="1" customWidth="1"/>
    <col min="13570" max="13582" width="0" style="7" hidden="1" customWidth="1"/>
    <col min="13583" max="13824" width="0" style="7" hidden="1"/>
    <col min="13825" max="13825" width="98.7265625" style="7" hidden="1" customWidth="1"/>
    <col min="13826" max="13838" width="0" style="7" hidden="1" customWidth="1"/>
    <col min="13839" max="14080" width="0" style="7" hidden="1"/>
    <col min="14081" max="14081" width="98.7265625" style="7" hidden="1" customWidth="1"/>
    <col min="14082" max="14094" width="0" style="7" hidden="1" customWidth="1"/>
    <col min="14095" max="14336" width="0" style="7" hidden="1"/>
    <col min="14337" max="14337" width="98.7265625" style="7" hidden="1" customWidth="1"/>
    <col min="14338" max="14350" width="0" style="7" hidden="1" customWidth="1"/>
    <col min="14351" max="14592" width="0" style="7" hidden="1"/>
    <col min="14593" max="14593" width="98.7265625" style="7" hidden="1" customWidth="1"/>
    <col min="14594" max="14606" width="0" style="7" hidden="1" customWidth="1"/>
    <col min="14607" max="14848" width="0" style="7" hidden="1"/>
    <col min="14849" max="14849" width="98.7265625" style="7" hidden="1" customWidth="1"/>
    <col min="14850" max="14862" width="0" style="7" hidden="1" customWidth="1"/>
    <col min="14863" max="15104" width="0" style="7" hidden="1"/>
    <col min="15105" max="15105" width="98.7265625" style="7" hidden="1" customWidth="1"/>
    <col min="15106" max="15118" width="0" style="7" hidden="1" customWidth="1"/>
    <col min="15119" max="15360" width="0" style="7" hidden="1"/>
    <col min="15361" max="15361" width="98.7265625" style="7" hidden="1" customWidth="1"/>
    <col min="15362" max="15374" width="0" style="7" hidden="1" customWidth="1"/>
    <col min="15375" max="15616" width="0" style="7" hidden="1"/>
    <col min="15617" max="15617" width="98.7265625" style="7" hidden="1" customWidth="1"/>
    <col min="15618" max="15630" width="0" style="7" hidden="1" customWidth="1"/>
    <col min="15631" max="15872" width="0" style="7" hidden="1"/>
    <col min="15873" max="15873" width="98.7265625" style="7" hidden="1" customWidth="1"/>
    <col min="15874" max="15886" width="0" style="7" hidden="1" customWidth="1"/>
    <col min="15887" max="16128" width="0" style="7" hidden="1"/>
    <col min="16129" max="16129" width="98.7265625" style="7" hidden="1" customWidth="1"/>
    <col min="16130" max="16142" width="0" style="7" hidden="1" customWidth="1"/>
    <col min="16143" max="16384" width="0" style="7" hidden="1"/>
  </cols>
  <sheetData>
    <row r="1" spans="1:9" ht="12.75" customHeight="1" x14ac:dyDescent="0.3">
      <c r="A1" s="26"/>
      <c r="H1" s="50" t="s">
        <v>116</v>
      </c>
      <c r="I1" s="51" t="s">
        <v>27</v>
      </c>
    </row>
    <row r="2" spans="1:9" ht="36" x14ac:dyDescent="0.4">
      <c r="A2" s="113" t="s">
        <v>205</v>
      </c>
      <c r="H2" s="52" t="s">
        <v>109</v>
      </c>
      <c r="I2" s="53" t="e">
        <f>IF(#REF!="Yes",1,0)</f>
        <v>#REF!</v>
      </c>
    </row>
    <row r="3" spans="1:9" ht="20" x14ac:dyDescent="0.4">
      <c r="A3" s="114" t="s">
        <v>154</v>
      </c>
      <c r="H3" s="52"/>
      <c r="I3" s="53"/>
    </row>
    <row r="4" spans="1:9" ht="20" x14ac:dyDescent="0.4">
      <c r="A4" s="115" t="s">
        <v>202</v>
      </c>
      <c r="H4" s="52"/>
      <c r="I4" s="53"/>
    </row>
    <row r="5" spans="1:9" ht="7.5" customHeight="1" x14ac:dyDescent="0.25">
      <c r="A5" s="28"/>
      <c r="H5" s="54" t="s">
        <v>117</v>
      </c>
      <c r="I5" s="52"/>
    </row>
    <row r="6" spans="1:9" ht="14.25" customHeight="1" x14ac:dyDescent="0.25">
      <c r="A6" s="28"/>
      <c r="H6" s="54" t="s">
        <v>118</v>
      </c>
      <c r="I6" s="52"/>
    </row>
    <row r="7" spans="1:9" ht="18.75" customHeight="1" x14ac:dyDescent="0.25">
      <c r="A7" s="64" t="str">
        <f>'Home Loan - MDIR'!B5&amp;" "&amp;'Home Loan - MDIR'!C5</f>
        <v xml:space="preserve"> </v>
      </c>
      <c r="H7" s="52" t="s">
        <v>113</v>
      </c>
      <c r="I7" s="53" t="e">
        <f>IF(#REF!="YES",1,0)</f>
        <v>#REF!</v>
      </c>
    </row>
    <row r="8" spans="1:9" x14ac:dyDescent="0.25">
      <c r="A8" s="64" t="str">
        <f>'Home Loan - MDIR'!G5&amp;" "&amp;'Home Loan - MDIR'!H5</f>
        <v xml:space="preserve"> </v>
      </c>
      <c r="H8" s="55" t="s">
        <v>142</v>
      </c>
      <c r="I8" s="56">
        <f>IF(H12="Blank",0,1)</f>
        <v>1</v>
      </c>
    </row>
    <row r="9" spans="1:9" ht="15.75" customHeight="1" x14ac:dyDescent="0.25">
      <c r="A9" s="64">
        <v>0</v>
      </c>
      <c r="H9" s="52"/>
      <c r="I9" s="53"/>
    </row>
    <row r="10" spans="1:9" ht="15.75" customHeight="1" x14ac:dyDescent="0.3">
      <c r="A10" s="64">
        <v>0</v>
      </c>
      <c r="H10" s="50" t="s">
        <v>119</v>
      </c>
      <c r="I10" s="51" t="e">
        <f>SUM(I7:I8)</f>
        <v>#REF!</v>
      </c>
    </row>
    <row r="11" spans="1:9" ht="13" thickBot="1" x14ac:dyDescent="0.3">
      <c r="A11" s="64">
        <v>0</v>
      </c>
      <c r="H11" s="52"/>
      <c r="I11" s="52"/>
    </row>
    <row r="12" spans="1:9" ht="13.5" thickBot="1" x14ac:dyDescent="0.35">
      <c r="A12" s="64">
        <v>0</v>
      </c>
      <c r="H12" s="116" t="b">
        <f>IF(ISBLANK(#REF!)=TRUE,"BLANK",IF(ISTEXT(#REF!)=TRUE,"TEXT"))</f>
        <v>0</v>
      </c>
      <c r="I12" s="52"/>
    </row>
    <row r="13" spans="1:9" ht="11.25" customHeight="1" x14ac:dyDescent="0.25">
      <c r="A13" s="29"/>
      <c r="H13" s="52"/>
      <c r="I13" s="52"/>
    </row>
    <row r="14" spans="1:9" ht="16.5" customHeight="1" x14ac:dyDescent="0.25">
      <c r="A14" s="67" t="e">
        <f ca="1">IF(I10=2,TODAY(),0)</f>
        <v>#REF!</v>
      </c>
      <c r="H14" s="7" t="e">
        <f>#REF!</f>
        <v>#REF!</v>
      </c>
    </row>
    <row r="15" spans="1:9" ht="4.5" customHeight="1" x14ac:dyDescent="0.25">
      <c r="A15" s="30"/>
    </row>
    <row r="16" spans="1:9" ht="4.5" customHeight="1" x14ac:dyDescent="0.25">
      <c r="A16" s="30"/>
    </row>
    <row r="17" spans="1:7" ht="12.75" hidden="1" customHeight="1" x14ac:dyDescent="0.25">
      <c r="A17" s="31"/>
    </row>
    <row r="18" spans="1:7" ht="15.5" x14ac:dyDescent="0.25">
      <c r="A18" s="117" t="str">
        <f>IF('Home Loan - MDIR'!H34="yes","Your Self Build Mortgage Approval in Principle","Your Mortgage Approval in Principle")</f>
        <v>Your Mortgage Approval in Principle</v>
      </c>
    </row>
    <row r="19" spans="1:7" ht="5.25" customHeight="1" x14ac:dyDescent="0.25">
      <c r="A19" s="118"/>
      <c r="B19" s="34"/>
      <c r="C19" s="34"/>
      <c r="D19" s="34"/>
      <c r="E19" s="34"/>
      <c r="F19" s="34"/>
      <c r="G19" s="34"/>
    </row>
    <row r="20" spans="1:7" ht="12.75" customHeight="1" x14ac:dyDescent="0.25">
      <c r="A20" s="119"/>
      <c r="B20" s="34"/>
      <c r="C20" s="34"/>
      <c r="D20" s="34"/>
      <c r="E20" s="34"/>
      <c r="F20" s="34"/>
      <c r="G20" s="34"/>
    </row>
    <row r="21" spans="1:7" ht="6" customHeight="1" x14ac:dyDescent="0.25">
      <c r="A21" s="120"/>
    </row>
    <row r="22" spans="1:7" ht="12.75" customHeight="1" x14ac:dyDescent="0.25">
      <c r="A22" s="121" t="s">
        <v>207</v>
      </c>
    </row>
    <row r="23" spans="1:7" ht="12.75" customHeight="1" x14ac:dyDescent="0.25">
      <c r="A23" s="120" t="s">
        <v>234</v>
      </c>
    </row>
    <row r="24" spans="1:7" ht="6.75" customHeight="1" x14ac:dyDescent="0.25">
      <c r="A24" s="120"/>
    </row>
    <row r="25" spans="1:7" ht="16.5" customHeight="1" x14ac:dyDescent="0.25">
      <c r="A25" s="60" t="e">
        <f>IF(I$10=2,"Amount: "&amp;TEXT('Home Loan - MDIR'!E28,"€0,000"),"")</f>
        <v>#REF!</v>
      </c>
    </row>
    <row r="26" spans="1:7" ht="12.75" customHeight="1" x14ac:dyDescent="0.25">
      <c r="A26" s="60" t="e">
        <f>IF(I$10=2,"Term: "&amp;'Home Loan - MDIR'!E30&amp;" years",0)</f>
        <v>#REF!</v>
      </c>
    </row>
    <row r="27" spans="1:7" ht="5.25" customHeight="1" x14ac:dyDescent="0.25">
      <c r="A27" s="30"/>
    </row>
    <row r="28" spans="1:7" ht="12.75" customHeight="1" x14ac:dyDescent="0.25">
      <c r="A28" s="120" t="str">
        <f>IF('Home Loan - MDIR'!H34="No","Getting a ‘Mortgage Approval in Principle’ before you start looking for a house is always a good idea. It will give you a rough idea of","Getting a ‘Self Build Mortgage Approval in Principle’ is a good idea. It will give you a rough idea of how much you have spend.")</f>
        <v>Getting a ‘Self Build Mortgage Approval in Principle’ is a good idea. It will give you a rough idea of how much you have spend.</v>
      </c>
    </row>
    <row r="29" spans="1:7" ht="12.75" customHeight="1" x14ac:dyDescent="0.25">
      <c r="A29" s="120" t="str">
        <f>IF('Home Loan - MDIR'!H34="No","how much you have to spend.","The maximum allowable Loan to Value for Self Build Mortgages cannot exceed the lower of 100% of the construction costs or")</f>
        <v>The maximum allowable Loan to Value for Self Build Mortgages cannot exceed the lower of 100% of the construction costs or</v>
      </c>
    </row>
    <row r="30" spans="1:7" ht="13.5" customHeight="1" x14ac:dyDescent="0.25">
      <c r="A30" s="120" t="str">
        <f>IF('Home Loan - MDIR'!H34="No"," ","75% of the expected Value upon completition.")</f>
        <v>75% of the expected Value upon completition.</v>
      </c>
    </row>
    <row r="31" spans="1:7" ht="12.75" customHeight="1" x14ac:dyDescent="0.25">
      <c r="A31" s="122" t="s">
        <v>157</v>
      </c>
    </row>
    <row r="32" spans="1:7" ht="12.75" customHeight="1" x14ac:dyDescent="0.25">
      <c r="A32" s="120" t="s">
        <v>158</v>
      </c>
    </row>
    <row r="33" spans="1:1" ht="17.25" customHeight="1" x14ac:dyDescent="0.25">
      <c r="A33" s="120" t="s">
        <v>159</v>
      </c>
    </row>
    <row r="34" spans="1:1" ht="12.75" customHeight="1" x14ac:dyDescent="0.25">
      <c r="A34" s="120" t="s">
        <v>160</v>
      </c>
    </row>
    <row r="35" spans="1:1" ht="12.75" customHeight="1" x14ac:dyDescent="0.25">
      <c r="A35" s="120" t="s">
        <v>161</v>
      </c>
    </row>
    <row r="36" spans="1:1" ht="12.75" customHeight="1" x14ac:dyDescent="0.25">
      <c r="A36" s="120" t="s">
        <v>162</v>
      </c>
    </row>
    <row r="37" spans="1:1" ht="12.75" customHeight="1" x14ac:dyDescent="0.25">
      <c r="A37" s="120" t="s">
        <v>163</v>
      </c>
    </row>
    <row r="38" spans="1:1" ht="12.75" customHeight="1" x14ac:dyDescent="0.25">
      <c r="A38" s="120" t="s">
        <v>164</v>
      </c>
    </row>
    <row r="39" spans="1:1" ht="12.75" customHeight="1" x14ac:dyDescent="0.25">
      <c r="A39" s="120" t="s">
        <v>165</v>
      </c>
    </row>
    <row r="40" spans="1:1" ht="12.75" customHeight="1" x14ac:dyDescent="0.25">
      <c r="A40" s="120" t="s">
        <v>166</v>
      </c>
    </row>
    <row r="41" spans="1:1" ht="12.75" customHeight="1" x14ac:dyDescent="0.25">
      <c r="A41" s="120" t="s">
        <v>167</v>
      </c>
    </row>
    <row r="42" spans="1:1" ht="5.25" customHeight="1" x14ac:dyDescent="0.25">
      <c r="A42" s="123"/>
    </row>
    <row r="43" spans="1:1" ht="12.75" customHeight="1" x14ac:dyDescent="0.25">
      <c r="A43" s="122" t="s">
        <v>168</v>
      </c>
    </row>
    <row r="44" spans="1:1" ht="12.75" customHeight="1" x14ac:dyDescent="0.25">
      <c r="A44" s="120" t="str">
        <f>IF('Home Loan - MDIR'!H34="No","• You continue the search for your new home and we will try to help you in any way that we can."," ")</f>
        <v xml:space="preserve"> </v>
      </c>
    </row>
    <row r="45" spans="1:1" x14ac:dyDescent="0.25">
      <c r="A45" s="120" t="s">
        <v>170</v>
      </c>
    </row>
    <row r="46" spans="1:1" x14ac:dyDescent="0.25">
      <c r="A46" s="120" t="s">
        <v>171</v>
      </c>
    </row>
    <row r="47" spans="1:1" x14ac:dyDescent="0.25">
      <c r="A47" s="120" t="s">
        <v>172</v>
      </c>
    </row>
    <row r="48" spans="1:1" x14ac:dyDescent="0.25">
      <c r="A48" s="120" t="s">
        <v>173</v>
      </c>
    </row>
    <row r="49" spans="1:1" x14ac:dyDescent="0.25">
      <c r="A49" s="120" t="s">
        <v>174</v>
      </c>
    </row>
    <row r="50" spans="1:1" x14ac:dyDescent="0.25">
      <c r="A50" s="120"/>
    </row>
    <row r="51" spans="1:1" ht="4.5" customHeight="1" x14ac:dyDescent="0.25">
      <c r="A51" s="120"/>
    </row>
    <row r="52" spans="1:1" x14ac:dyDescent="0.25">
      <c r="A52" s="121" t="s">
        <v>237</v>
      </c>
    </row>
    <row r="53" spans="1:1" x14ac:dyDescent="0.25">
      <c r="A53" s="121"/>
    </row>
    <row r="54" spans="1:1" x14ac:dyDescent="0.25">
      <c r="A54" s="120" t="s">
        <v>175</v>
      </c>
    </row>
    <row r="55" spans="1:1" ht="10.5" customHeight="1" x14ac:dyDescent="0.25">
      <c r="A55" s="120"/>
    </row>
    <row r="56" spans="1:1" x14ac:dyDescent="0.25">
      <c r="A56" s="120" t="s">
        <v>120</v>
      </c>
    </row>
    <row r="57" spans="1:1" ht="2.25" customHeight="1" x14ac:dyDescent="0.25">
      <c r="A57" s="120"/>
    </row>
    <row r="58" spans="1:1" x14ac:dyDescent="0.25">
      <c r="A58" s="121"/>
    </row>
    <row r="59" spans="1:1" ht="23.25" customHeight="1" x14ac:dyDescent="0.25">
      <c r="A59" s="64" t="e">
        <f>IF($I$10=2,'Home Loan - MDIR'!F159:G159,"")</f>
        <v>#REF!</v>
      </c>
    </row>
    <row r="60" spans="1:1" ht="9.75" customHeight="1" x14ac:dyDescent="0.25">
      <c r="A60" s="120" t="s">
        <v>235</v>
      </c>
    </row>
    <row r="61" spans="1:1" ht="13" x14ac:dyDescent="0.25">
      <c r="A61" s="142" t="s">
        <v>236</v>
      </c>
    </row>
    <row r="62" spans="1:1" x14ac:dyDescent="0.25">
      <c r="A62" s="124"/>
    </row>
    <row r="63" spans="1:1" x14ac:dyDescent="0.25">
      <c r="A63" s="124"/>
    </row>
    <row r="64" spans="1:1" hidden="1" x14ac:dyDescent="0.25">
      <c r="A64" s="124"/>
    </row>
    <row r="65" spans="1:1" hidden="1" x14ac:dyDescent="0.25">
      <c r="A65" s="125"/>
    </row>
    <row r="66" spans="1:1" x14ac:dyDescent="0.25">
      <c r="A66" s="125"/>
    </row>
    <row r="67" spans="1:1" ht="3.75" customHeight="1" x14ac:dyDescent="0.25">
      <c r="A67" s="125"/>
    </row>
    <row r="68" spans="1:1" x14ac:dyDescent="0.25">
      <c r="A68" s="125"/>
    </row>
    <row r="69" spans="1:1" ht="2.25" customHeight="1" x14ac:dyDescent="0.25">
      <c r="A69" s="125"/>
    </row>
    <row r="70" spans="1:1" ht="6.75" customHeight="1" x14ac:dyDescent="0.25">
      <c r="A70" s="125"/>
    </row>
    <row r="71" spans="1:1" ht="16.5" x14ac:dyDescent="0.25">
      <c r="A71" s="126" t="s">
        <v>176</v>
      </c>
    </row>
    <row r="72" spans="1:1" x14ac:dyDescent="0.25">
      <c r="A72" s="127" t="s">
        <v>177</v>
      </c>
    </row>
    <row r="73" spans="1:1" x14ac:dyDescent="0.25">
      <c r="A73" s="127" t="s">
        <v>178</v>
      </c>
    </row>
    <row r="74" spans="1:1" ht="1.5" customHeight="1" x14ac:dyDescent="0.25">
      <c r="A74" s="128"/>
    </row>
    <row r="75" spans="1:1" x14ac:dyDescent="0.25">
      <c r="A75" s="129" t="s">
        <v>179</v>
      </c>
    </row>
    <row r="76" spans="1:1" x14ac:dyDescent="0.25">
      <c r="A76" s="128"/>
    </row>
    <row r="77" spans="1:1" x14ac:dyDescent="0.25">
      <c r="A77" s="130" t="s">
        <v>198</v>
      </c>
    </row>
    <row r="78" spans="1:1" ht="4.5" customHeight="1" x14ac:dyDescent="0.25">
      <c r="A78" s="131"/>
    </row>
    <row r="79" spans="1:1" x14ac:dyDescent="0.25">
      <c r="A79" s="130" t="s">
        <v>180</v>
      </c>
    </row>
    <row r="80" spans="1:1" ht="5.25" customHeight="1" x14ac:dyDescent="0.25">
      <c r="A80" s="131"/>
    </row>
    <row r="81" spans="1:1" x14ac:dyDescent="0.25">
      <c r="A81" s="130" t="s">
        <v>181</v>
      </c>
    </row>
    <row r="82" spans="1:1" ht="5.25" customHeight="1" x14ac:dyDescent="0.25">
      <c r="A82" s="130"/>
    </row>
    <row r="83" spans="1:1" x14ac:dyDescent="0.25">
      <c r="A83" s="130"/>
    </row>
    <row r="84" spans="1:1" ht="6.75" customHeight="1" x14ac:dyDescent="0.25">
      <c r="A84" s="131"/>
    </row>
    <row r="85" spans="1:1" x14ac:dyDescent="0.25">
      <c r="A85" s="129" t="s">
        <v>201</v>
      </c>
    </row>
    <row r="86" spans="1:1" ht="6.75" customHeight="1" x14ac:dyDescent="0.25">
      <c r="A86" s="128"/>
    </row>
    <row r="87" spans="1:1" x14ac:dyDescent="0.25">
      <c r="A87" s="130" t="s">
        <v>199</v>
      </c>
    </row>
    <row r="88" spans="1:1" ht="7.5" customHeight="1" x14ac:dyDescent="0.25">
      <c r="A88" s="131"/>
    </row>
    <row r="89" spans="1:1" x14ac:dyDescent="0.25">
      <c r="A89" s="130" t="s">
        <v>204</v>
      </c>
    </row>
    <row r="90" spans="1:1" ht="5.25" customHeight="1" x14ac:dyDescent="0.25">
      <c r="A90" s="130"/>
    </row>
    <row r="91" spans="1:1" ht="46" x14ac:dyDescent="0.25">
      <c r="A91" s="132" t="s">
        <v>200</v>
      </c>
    </row>
    <row r="92" spans="1:1" ht="4.5" customHeight="1" x14ac:dyDescent="0.25">
      <c r="A92" s="130"/>
    </row>
    <row r="93" spans="1:1" x14ac:dyDescent="0.25">
      <c r="A93" s="130"/>
    </row>
    <row r="94" spans="1:1" ht="9" customHeight="1" x14ac:dyDescent="0.25">
      <c r="A94" s="130"/>
    </row>
    <row r="95" spans="1:1" ht="15" customHeight="1" x14ac:dyDescent="0.25">
      <c r="A95" s="129" t="s">
        <v>182</v>
      </c>
    </row>
    <row r="96" spans="1:1" ht="3" hidden="1" customHeight="1" x14ac:dyDescent="0.25">
      <c r="A96" s="127"/>
    </row>
    <row r="97" spans="1:1" x14ac:dyDescent="0.25">
      <c r="A97" s="129" t="s">
        <v>183</v>
      </c>
    </row>
    <row r="98" spans="1:1" ht="0.75" customHeight="1" x14ac:dyDescent="0.25">
      <c r="A98" s="133"/>
    </row>
    <row r="99" spans="1:1" x14ac:dyDescent="0.25">
      <c r="A99" s="129" t="s">
        <v>184</v>
      </c>
    </row>
    <row r="100" spans="1:1" ht="6" customHeight="1" x14ac:dyDescent="0.25">
      <c r="A100" s="127"/>
    </row>
    <row r="101" spans="1:1" x14ac:dyDescent="0.25">
      <c r="A101" s="130" t="s">
        <v>185</v>
      </c>
    </row>
    <row r="102" spans="1:1" ht="6" customHeight="1" x14ac:dyDescent="0.25">
      <c r="A102" s="131"/>
    </row>
    <row r="103" spans="1:1" x14ac:dyDescent="0.25">
      <c r="A103" s="130" t="s">
        <v>186</v>
      </c>
    </row>
    <row r="104" spans="1:1" ht="6.75" customHeight="1" x14ac:dyDescent="0.25">
      <c r="A104" s="131"/>
    </row>
    <row r="105" spans="1:1" x14ac:dyDescent="0.25">
      <c r="A105" s="134" t="s">
        <v>187</v>
      </c>
    </row>
    <row r="106" spans="1:1" ht="3" customHeight="1" x14ac:dyDescent="0.25">
      <c r="A106" s="135"/>
    </row>
    <row r="107" spans="1:1" x14ac:dyDescent="0.25">
      <c r="A107" s="129" t="s">
        <v>188</v>
      </c>
    </row>
    <row r="108" spans="1:1" ht="2.25" hidden="1" customHeight="1" x14ac:dyDescent="0.25">
      <c r="A108" s="133"/>
    </row>
    <row r="109" spans="1:1" x14ac:dyDescent="0.25">
      <c r="A109" s="129" t="s">
        <v>189</v>
      </c>
    </row>
    <row r="110" spans="1:1" ht="4.5" customHeight="1" x14ac:dyDescent="0.25">
      <c r="A110" s="127"/>
    </row>
    <row r="111" spans="1:1" x14ac:dyDescent="0.25">
      <c r="A111" s="130" t="s">
        <v>190</v>
      </c>
    </row>
    <row r="112" spans="1:1" ht="5.25" customHeight="1" x14ac:dyDescent="0.25">
      <c r="A112" s="131"/>
    </row>
    <row r="113" spans="1:1" x14ac:dyDescent="0.25">
      <c r="A113" s="130" t="s">
        <v>191</v>
      </c>
    </row>
    <row r="114" spans="1:1" ht="6" customHeight="1" x14ac:dyDescent="0.25">
      <c r="A114" s="131"/>
    </row>
    <row r="115" spans="1:1" x14ac:dyDescent="0.25">
      <c r="A115" s="130" t="s">
        <v>192</v>
      </c>
    </row>
    <row r="116" spans="1:1" ht="5.25" customHeight="1" x14ac:dyDescent="0.25">
      <c r="A116" s="131"/>
    </row>
    <row r="117" spans="1:1" x14ac:dyDescent="0.25">
      <c r="A117" s="130" t="s">
        <v>193</v>
      </c>
    </row>
    <row r="118" spans="1:1" ht="4.5" customHeight="1" x14ac:dyDescent="0.25">
      <c r="A118" s="131"/>
    </row>
    <row r="119" spans="1:1" ht="15" customHeight="1" x14ac:dyDescent="0.25">
      <c r="A119" s="130" t="s">
        <v>194</v>
      </c>
    </row>
    <row r="120" spans="1:1" ht="3.75" customHeight="1" x14ac:dyDescent="0.25">
      <c r="A120" s="130"/>
    </row>
    <row r="121" spans="1:1" x14ac:dyDescent="0.25">
      <c r="A121" s="136" t="s">
        <v>203</v>
      </c>
    </row>
    <row r="122" spans="1:1" x14ac:dyDescent="0.25">
      <c r="A122" s="137" t="s">
        <v>195</v>
      </c>
    </row>
    <row r="123" spans="1:1" x14ac:dyDescent="0.25">
      <c r="A123" s="38"/>
    </row>
    <row r="124" spans="1:1" hidden="1" x14ac:dyDescent="0.25">
      <c r="A124" s="138"/>
    </row>
    <row r="125" spans="1:1" hidden="1" x14ac:dyDescent="0.25">
      <c r="A125" s="138"/>
    </row>
    <row r="126" spans="1:1" x14ac:dyDescent="0.25">
      <c r="A126" s="138"/>
    </row>
    <row r="127" spans="1:1" x14ac:dyDescent="0.25">
      <c r="A127" s="139" t="str">
        <f>IF('Home Loan - MDIR'!H34="No"," ","If you are a Self - Build Customer Please ensure you provide the following ")</f>
        <v xml:space="preserve">If you are a Self - Build Customer Please ensure you provide the following </v>
      </c>
    </row>
    <row r="128" spans="1:1" x14ac:dyDescent="0.25">
      <c r="A128" s="139" t="str">
        <f>IF('Home Loan - MDIR'!H34="No"," ","prior to final assessment ")</f>
        <v xml:space="preserve">prior to final assessment </v>
      </c>
    </row>
    <row r="129" spans="1:1" x14ac:dyDescent="0.25">
      <c r="A129" s="139"/>
    </row>
    <row r="130" spans="1:1" x14ac:dyDescent="0.25">
      <c r="A130" s="141" t="str">
        <f>IF('Home Loan - MDIR'!H34="No"," ","         Building plans plus costings ")</f>
        <v xml:space="preserve">         Building plans plus costings </v>
      </c>
    </row>
    <row r="131" spans="1:1" x14ac:dyDescent="0.25">
      <c r="A131" s="131"/>
    </row>
    <row r="132" spans="1:1" x14ac:dyDescent="0.25">
      <c r="A132" s="140" t="str">
        <f>IF('Home Loan - MDIR'!H34="No"," ","        Completed Certificate of Inspection ")</f>
        <v xml:space="preserve">        Completed Certificate of Inspection </v>
      </c>
    </row>
    <row r="133" spans="1:1" x14ac:dyDescent="0.25">
      <c r="A133" s="131"/>
    </row>
    <row r="134" spans="1:1" x14ac:dyDescent="0.25">
      <c r="A134" s="140" t="str">
        <f>IF('Home Loan - MDIR'!H34="No"," ","         Full Planning Permission ")</f>
        <v xml:space="preserve">         Full Planning Permission </v>
      </c>
    </row>
    <row r="135" spans="1:1" x14ac:dyDescent="0.25">
      <c r="A135" s="130"/>
    </row>
    <row r="136" spans="1:1" x14ac:dyDescent="0.25">
      <c r="A136" s="130"/>
    </row>
    <row r="137" spans="1:1" x14ac:dyDescent="0.25">
      <c r="A137" s="138"/>
    </row>
    <row r="138" spans="1:1" x14ac:dyDescent="0.25">
      <c r="A138" s="138"/>
    </row>
    <row r="139" spans="1:1" x14ac:dyDescent="0.25">
      <c r="A139" s="138"/>
    </row>
    <row r="140" spans="1:1" x14ac:dyDescent="0.25">
      <c r="A140" s="138"/>
    </row>
    <row r="141" spans="1:1" x14ac:dyDescent="0.25">
      <c r="A141" s="138"/>
    </row>
    <row r="142" spans="1:1" x14ac:dyDescent="0.25">
      <c r="A142" s="138"/>
    </row>
    <row r="143" spans="1:1" x14ac:dyDescent="0.25">
      <c r="A143" s="138"/>
    </row>
    <row r="144" spans="1:1" x14ac:dyDescent="0.25">
      <c r="A144" s="138"/>
    </row>
    <row r="145" spans="1:1" x14ac:dyDescent="0.25">
      <c r="A145" s="138"/>
    </row>
    <row r="146" spans="1:1" x14ac:dyDescent="0.25">
      <c r="A146" s="138"/>
    </row>
    <row r="147" spans="1:1" x14ac:dyDescent="0.25">
      <c r="A147" s="138"/>
    </row>
    <row r="148" spans="1:1" x14ac:dyDescent="0.25">
      <c r="A148" s="138"/>
    </row>
    <row r="149" spans="1:1" x14ac:dyDescent="0.25">
      <c r="A149" s="138"/>
    </row>
    <row r="150" spans="1:1" x14ac:dyDescent="0.25">
      <c r="A150" s="138"/>
    </row>
    <row r="151" spans="1:1" x14ac:dyDescent="0.25">
      <c r="A151" s="138"/>
    </row>
    <row r="152" spans="1:1" x14ac:dyDescent="0.25">
      <c r="A152" s="138"/>
    </row>
    <row r="153" spans="1:1" x14ac:dyDescent="0.25">
      <c r="A153" s="138"/>
    </row>
    <row r="154" spans="1:1" x14ac:dyDescent="0.25">
      <c r="A154" s="138"/>
    </row>
    <row r="155" spans="1:1" x14ac:dyDescent="0.25">
      <c r="A155" s="138"/>
    </row>
    <row r="156" spans="1:1" x14ac:dyDescent="0.25">
      <c r="A156" s="138"/>
    </row>
    <row r="157" spans="1:1" x14ac:dyDescent="0.25">
      <c r="A157" s="138"/>
    </row>
    <row r="158" spans="1:1" x14ac:dyDescent="0.25">
      <c r="A158" s="138"/>
    </row>
    <row r="159" spans="1:1" x14ac:dyDescent="0.25">
      <c r="A159" s="138"/>
    </row>
    <row r="160" spans="1:1" x14ac:dyDescent="0.25">
      <c r="A160" s="138"/>
    </row>
    <row r="161" spans="1:1" x14ac:dyDescent="0.25">
      <c r="A161" s="138"/>
    </row>
    <row r="162" spans="1:1" x14ac:dyDescent="0.25">
      <c r="A162" s="138"/>
    </row>
    <row r="163" spans="1:1" x14ac:dyDescent="0.25">
      <c r="A163" s="138"/>
    </row>
    <row r="164" spans="1:1" x14ac:dyDescent="0.25">
      <c r="A164" s="138"/>
    </row>
    <row r="165" spans="1:1" x14ac:dyDescent="0.25">
      <c r="A165" s="138"/>
    </row>
    <row r="166" spans="1:1" x14ac:dyDescent="0.25">
      <c r="A166" s="138"/>
    </row>
    <row r="167" spans="1:1" x14ac:dyDescent="0.25">
      <c r="A167" s="138"/>
    </row>
    <row r="168" spans="1:1" x14ac:dyDescent="0.25">
      <c r="A168" s="138"/>
    </row>
    <row r="169" spans="1:1" x14ac:dyDescent="0.25">
      <c r="A169" s="138"/>
    </row>
    <row r="170" spans="1:1" x14ac:dyDescent="0.25">
      <c r="A170" s="138"/>
    </row>
    <row r="171" spans="1:1" x14ac:dyDescent="0.25">
      <c r="A171" s="138"/>
    </row>
    <row r="172" spans="1:1" x14ac:dyDescent="0.25">
      <c r="A172" s="138"/>
    </row>
    <row r="173" spans="1:1" x14ac:dyDescent="0.25">
      <c r="A173" s="138"/>
    </row>
    <row r="174" spans="1:1" x14ac:dyDescent="0.25">
      <c r="A174" s="138"/>
    </row>
  </sheetData>
  <hyperlinks>
    <hyperlink ref="A3" r:id="rId1" xr:uid="{00000000-0004-0000-0500-000000000000}"/>
    <hyperlink ref="A4" r:id="rId2" xr:uid="{00000000-0004-0000-0500-000001000000}"/>
  </hyperlinks>
  <pageMargins left="0.7" right="0.7" top="0.75" bottom="0.75" header="0.3" footer="0.3"/>
  <pageSetup paperSize="9" orientation="portrait" r:id="rId3"/>
  <rowBreaks count="1" manualBreakCount="1">
    <brk id="6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J46"/>
  <sheetViews>
    <sheetView showGridLines="0" tabSelected="1" zoomScale="80" zoomScaleNormal="80" workbookViewId="0">
      <selection activeCell="B1" sqref="B1"/>
    </sheetView>
  </sheetViews>
  <sheetFormatPr defaultColWidth="9.1796875" defaultRowHeight="14.5" x14ac:dyDescent="0.35"/>
  <cols>
    <col min="1" max="1" width="1.26953125" style="621" customWidth="1"/>
    <col min="2" max="2" width="37.453125" style="621" customWidth="1"/>
    <col min="3" max="3" width="15" style="642" customWidth="1"/>
    <col min="4" max="4" width="12.1796875" style="643" customWidth="1"/>
    <col min="5" max="5" width="9" style="621" customWidth="1"/>
    <col min="6" max="6" width="1.81640625" style="621" customWidth="1"/>
    <col min="7" max="7" width="18" style="621" customWidth="1"/>
    <col min="8" max="8" width="11" style="621" customWidth="1"/>
    <col min="9" max="9" width="5.81640625" style="621" customWidth="1"/>
    <col min="10" max="10" width="20.26953125" style="621" customWidth="1"/>
    <col min="11" max="11" width="10.453125" style="621" customWidth="1"/>
    <col min="12" max="12" width="5.7265625" style="621" customWidth="1"/>
    <col min="13" max="13" width="20.1796875" style="621" customWidth="1"/>
    <col min="14" max="14" width="10" style="621" customWidth="1"/>
    <col min="15" max="15" width="5.453125" style="621" customWidth="1"/>
    <col min="16" max="16" width="20.26953125" style="621" customWidth="1"/>
    <col min="17" max="17" width="10.453125" style="621" customWidth="1"/>
    <col min="18" max="18" width="6" style="621" customWidth="1"/>
    <col min="19" max="19" width="3.7265625" style="621" customWidth="1"/>
    <col min="20" max="20" width="2.54296875" style="620" customWidth="1"/>
    <col min="21" max="21" width="9.1796875" style="620" customWidth="1"/>
    <col min="22" max="23" width="9.1796875" style="620" hidden="1" customWidth="1"/>
    <col min="24" max="24" width="4.1796875" style="620" hidden="1" customWidth="1"/>
    <col min="25" max="25" width="9.1796875" style="620" hidden="1" customWidth="1"/>
    <col min="26" max="32" width="9.1796875" style="621" hidden="1" customWidth="1"/>
    <col min="33" max="16384" width="9.1796875" style="621"/>
  </cols>
  <sheetData>
    <row r="1" spans="2:25" ht="15.75" customHeight="1" x14ac:dyDescent="0.5">
      <c r="B1" s="616"/>
      <c r="C1" s="617"/>
      <c r="D1" s="618"/>
      <c r="E1" s="616"/>
      <c r="F1" s="616"/>
      <c r="G1" s="1131" t="s">
        <v>628</v>
      </c>
      <c r="H1" s="1131"/>
      <c r="I1" s="1131"/>
      <c r="J1" s="1131"/>
      <c r="K1" s="1131"/>
      <c r="L1" s="1131"/>
      <c r="M1" s="616"/>
      <c r="N1" s="616"/>
      <c r="O1" s="616"/>
      <c r="P1" s="616"/>
      <c r="Q1" s="616"/>
      <c r="R1" s="616"/>
      <c r="S1" s="619"/>
      <c r="U1" s="621"/>
      <c r="V1" s="621"/>
      <c r="W1" s="621"/>
      <c r="X1" s="621"/>
      <c r="Y1" s="621"/>
    </row>
    <row r="2" spans="2:25" ht="3.75" customHeight="1" x14ac:dyDescent="0.35">
      <c r="B2" s="622"/>
      <c r="C2" s="623"/>
      <c r="D2" s="624"/>
      <c r="E2" s="622"/>
      <c r="F2" s="622"/>
      <c r="G2" s="622"/>
      <c r="H2" s="622"/>
      <c r="I2" s="622"/>
      <c r="J2" s="622"/>
      <c r="K2" s="622"/>
      <c r="L2" s="622"/>
      <c r="M2" s="622"/>
      <c r="N2" s="622"/>
      <c r="O2" s="622"/>
      <c r="P2" s="622"/>
      <c r="Q2" s="622"/>
      <c r="R2" s="622"/>
      <c r="S2" s="625"/>
      <c r="U2" s="621"/>
      <c r="V2" s="621"/>
      <c r="W2" s="621"/>
      <c r="X2" s="621"/>
      <c r="Y2" s="621"/>
    </row>
    <row r="3" spans="2:25" ht="16.5" customHeight="1" x14ac:dyDescent="0.35">
      <c r="B3" s="626" t="s">
        <v>20</v>
      </c>
      <c r="C3" s="626" t="s">
        <v>360</v>
      </c>
      <c r="D3" s="1132" t="s">
        <v>212</v>
      </c>
      <c r="E3" s="1133"/>
      <c r="F3" s="1133"/>
      <c r="G3" s="1133"/>
      <c r="H3" s="626" t="s">
        <v>360</v>
      </c>
      <c r="I3" s="627"/>
      <c r="J3" s="626"/>
      <c r="K3" s="1134" t="s">
        <v>361</v>
      </c>
      <c r="L3" s="1134"/>
      <c r="M3" s="1134"/>
      <c r="N3" s="626"/>
      <c r="O3" s="626"/>
      <c r="P3" s="1135" t="s">
        <v>362</v>
      </c>
      <c r="Q3" s="1126"/>
      <c r="R3" s="1126"/>
      <c r="S3" s="625"/>
      <c r="U3" s="621"/>
      <c r="V3" s="621"/>
      <c r="W3" s="621"/>
      <c r="X3" s="621"/>
      <c r="Y3" s="621"/>
    </row>
    <row r="4" spans="2:25" ht="19.5" customHeight="1" x14ac:dyDescent="0.35">
      <c r="B4" s="628"/>
      <c r="C4" s="629"/>
      <c r="D4" s="728"/>
      <c r="E4" s="1136"/>
      <c r="F4" s="1137"/>
      <c r="G4" s="1137"/>
      <c r="H4" s="1138"/>
      <c r="I4" s="1139"/>
      <c r="J4" s="729"/>
      <c r="K4" s="1136"/>
      <c r="L4" s="1140"/>
      <c r="M4" s="1140"/>
      <c r="N4" s="729"/>
      <c r="O4" s="729"/>
      <c r="P4" s="1136" t="s">
        <v>363</v>
      </c>
      <c r="Q4" s="1140"/>
      <c r="R4" s="1140"/>
      <c r="S4" s="630"/>
      <c r="U4" s="621"/>
      <c r="V4" s="621"/>
      <c r="W4" s="621"/>
      <c r="X4" s="621"/>
      <c r="Y4" s="621"/>
    </row>
    <row r="5" spans="2:25" ht="7.5" customHeight="1" x14ac:dyDescent="0.35">
      <c r="B5" s="622"/>
      <c r="C5" s="623"/>
      <c r="D5" s="624"/>
      <c r="E5" s="622"/>
      <c r="F5" s="622"/>
      <c r="G5" s="622"/>
      <c r="H5" s="622"/>
      <c r="I5" s="622"/>
      <c r="J5" s="622"/>
      <c r="K5" s="622"/>
      <c r="L5" s="622"/>
      <c r="M5" s="622"/>
      <c r="N5" s="622"/>
      <c r="O5" s="622"/>
      <c r="P5" s="622"/>
      <c r="Q5" s="622"/>
      <c r="R5" s="622"/>
      <c r="S5" s="625"/>
      <c r="U5" s="621"/>
      <c r="V5" s="621"/>
      <c r="W5" s="621"/>
      <c r="X5" s="621"/>
      <c r="Y5" s="621"/>
    </row>
    <row r="6" spans="2:25" ht="24" customHeight="1" x14ac:dyDescent="0.45">
      <c r="B6" s="733" t="s">
        <v>364</v>
      </c>
      <c r="C6" s="1122" t="s">
        <v>498</v>
      </c>
      <c r="D6" s="1123"/>
      <c r="E6" s="1123"/>
      <c r="F6" s="631"/>
      <c r="G6" s="1124" t="s">
        <v>365</v>
      </c>
      <c r="H6" s="1125"/>
      <c r="I6" s="1126"/>
      <c r="J6" s="1124" t="s">
        <v>366</v>
      </c>
      <c r="K6" s="1125"/>
      <c r="L6" s="1126"/>
      <c r="M6" s="1124" t="s">
        <v>367</v>
      </c>
      <c r="N6" s="1125"/>
      <c r="O6" s="1126"/>
      <c r="P6" s="1124" t="s">
        <v>368</v>
      </c>
      <c r="Q6" s="1124"/>
      <c r="R6" s="1126"/>
      <c r="S6" s="625"/>
      <c r="U6" s="621"/>
      <c r="V6" s="621"/>
      <c r="W6" s="621"/>
      <c r="X6" s="621"/>
      <c r="Y6" s="621"/>
    </row>
    <row r="7" spans="2:25" ht="17" x14ac:dyDescent="0.4">
      <c r="B7" s="731" t="s">
        <v>369</v>
      </c>
      <c r="C7" s="680"/>
      <c r="D7" s="681"/>
      <c r="E7" s="682"/>
      <c r="F7" s="679"/>
      <c r="G7" s="680"/>
      <c r="H7" s="681"/>
      <c r="I7" s="682"/>
      <c r="J7" s="680"/>
      <c r="K7" s="681"/>
      <c r="L7" s="681"/>
      <c r="M7" s="680"/>
      <c r="N7" s="681"/>
      <c r="O7" s="681"/>
      <c r="P7" s="680"/>
      <c r="Q7" s="681"/>
      <c r="R7" s="682"/>
      <c r="S7" s="625"/>
      <c r="U7" s="621"/>
      <c r="V7" s="621"/>
      <c r="W7" s="621"/>
      <c r="X7" s="621"/>
      <c r="Y7" s="621"/>
    </row>
    <row r="8" spans="2:25" ht="17" x14ac:dyDescent="0.4">
      <c r="B8" s="731" t="s">
        <v>495</v>
      </c>
      <c r="C8" s="1141"/>
      <c r="D8" s="1091"/>
      <c r="E8" s="1092"/>
      <c r="F8" s="732"/>
      <c r="G8" s="1145"/>
      <c r="H8" s="1091"/>
      <c r="I8" s="1092"/>
      <c r="J8" s="1090"/>
      <c r="K8" s="1091"/>
      <c r="L8" s="1092"/>
      <c r="M8" s="1090"/>
      <c r="N8" s="1091"/>
      <c r="O8" s="1092"/>
      <c r="P8" s="1090"/>
      <c r="Q8" s="1091"/>
      <c r="R8" s="1092"/>
      <c r="S8" s="625"/>
      <c r="U8" s="621"/>
      <c r="V8" s="621"/>
      <c r="W8" s="621"/>
      <c r="X8" s="621"/>
      <c r="Y8" s="621"/>
    </row>
    <row r="9" spans="2:25" ht="17" x14ac:dyDescent="0.4">
      <c r="B9" s="731" t="s">
        <v>496</v>
      </c>
      <c r="C9" s="1142" t="s">
        <v>236</v>
      </c>
      <c r="D9" s="1143"/>
      <c r="E9" s="1144"/>
      <c r="F9" s="679"/>
      <c r="G9" s="1087"/>
      <c r="H9" s="1088"/>
      <c r="I9" s="1089"/>
      <c r="J9" s="1087"/>
      <c r="K9" s="1088"/>
      <c r="L9" s="1089"/>
      <c r="M9" s="1087"/>
      <c r="N9" s="1088"/>
      <c r="O9" s="1089"/>
      <c r="P9" s="1087"/>
      <c r="Q9" s="1088"/>
      <c r="R9" s="1089"/>
      <c r="S9" s="625"/>
      <c r="U9" s="621"/>
      <c r="V9" s="621"/>
      <c r="W9" s="621"/>
      <c r="X9" s="621"/>
      <c r="Y9" s="621"/>
    </row>
    <row r="10" spans="2:25" ht="17" x14ac:dyDescent="0.4">
      <c r="B10" s="731" t="s">
        <v>497</v>
      </c>
      <c r="C10" s="1142">
        <f ca="1">YEAR(TODAY())</f>
        <v>2019</v>
      </c>
      <c r="D10" s="1143"/>
      <c r="E10" s="1144"/>
      <c r="F10" s="679"/>
      <c r="G10" s="1087"/>
      <c r="H10" s="1088"/>
      <c r="I10" s="1089"/>
      <c r="J10" s="1087"/>
      <c r="K10" s="1088"/>
      <c r="L10" s="1089"/>
      <c r="M10" s="1087"/>
      <c r="N10" s="1088"/>
      <c r="O10" s="1089"/>
      <c r="P10" s="1087"/>
      <c r="Q10" s="1088"/>
      <c r="R10" s="1089"/>
      <c r="S10" s="625"/>
      <c r="U10" s="621"/>
      <c r="V10" s="621"/>
      <c r="W10" s="621"/>
      <c r="X10" s="621"/>
      <c r="Y10" s="621"/>
    </row>
    <row r="11" spans="2:25" ht="17" x14ac:dyDescent="0.4">
      <c r="B11" s="731" t="s">
        <v>371</v>
      </c>
      <c r="C11" s="680"/>
      <c r="D11" s="681"/>
      <c r="E11" s="682"/>
      <c r="F11" s="679"/>
      <c r="G11" s="680"/>
      <c r="H11" s="681"/>
      <c r="I11" s="682"/>
      <c r="J11" s="680"/>
      <c r="K11" s="681"/>
      <c r="L11" s="682"/>
      <c r="M11" s="680"/>
      <c r="N11" s="681"/>
      <c r="O11" s="682"/>
      <c r="P11" s="680"/>
      <c r="Q11" s="681"/>
      <c r="R11" s="682"/>
      <c r="S11" s="625"/>
      <c r="U11" s="621"/>
      <c r="V11" s="621"/>
      <c r="W11" s="621"/>
      <c r="X11" s="621"/>
      <c r="Y11" s="621"/>
    </row>
    <row r="12" spans="2:25" ht="17" x14ac:dyDescent="0.4">
      <c r="B12" s="731" t="s">
        <v>333</v>
      </c>
      <c r="C12" s="680"/>
      <c r="D12" s="632" t="s">
        <v>373</v>
      </c>
      <c r="E12" s="724" t="str">
        <f>IF(P4="Non Resident",70%,IF(C12="House",70%,IF(C12="Apt 1 Bed",70%,IF(C12="Apt 2 Bed",70%,""))))</f>
        <v/>
      </c>
      <c r="F12" s="679"/>
      <c r="G12" s="680"/>
      <c r="H12" s="632"/>
      <c r="I12" s="724"/>
      <c r="J12" s="680"/>
      <c r="K12" s="632"/>
      <c r="L12" s="724"/>
      <c r="M12" s="680"/>
      <c r="N12" s="632"/>
      <c r="O12" s="724"/>
      <c r="P12" s="680"/>
      <c r="Q12" s="632"/>
      <c r="R12" s="724"/>
      <c r="S12" s="625"/>
      <c r="U12" s="621"/>
      <c r="V12" s="621"/>
      <c r="W12" s="621"/>
      <c r="X12" s="621"/>
      <c r="Y12" s="621"/>
    </row>
    <row r="13" spans="2:25" ht="17" x14ac:dyDescent="0.4">
      <c r="B13" s="731" t="s">
        <v>210</v>
      </c>
      <c r="C13" s="683"/>
      <c r="D13" s="681"/>
      <c r="E13" s="682"/>
      <c r="F13" s="679"/>
      <c r="G13" s="683"/>
      <c r="H13" s="681"/>
      <c r="I13" s="682"/>
      <c r="J13" s="683"/>
      <c r="K13" s="681"/>
      <c r="L13" s="682"/>
      <c r="M13" s="683"/>
      <c r="N13" s="681"/>
      <c r="O13" s="682"/>
      <c r="P13" s="683"/>
      <c r="Q13" s="681"/>
      <c r="R13" s="682"/>
      <c r="S13" s="625"/>
      <c r="U13" s="621"/>
      <c r="V13" s="621"/>
      <c r="W13" s="621"/>
      <c r="X13" s="621"/>
      <c r="Y13" s="621"/>
    </row>
    <row r="14" spans="2:25" ht="17" x14ac:dyDescent="0.4">
      <c r="B14" s="731" t="s">
        <v>374</v>
      </c>
      <c r="C14" s="683"/>
      <c r="D14" s="681"/>
      <c r="E14" s="682"/>
      <c r="F14" s="679"/>
      <c r="G14" s="683"/>
      <c r="H14" s="681"/>
      <c r="I14" s="682"/>
      <c r="J14" s="683"/>
      <c r="K14" s="681"/>
      <c r="L14" s="682"/>
      <c r="M14" s="683"/>
      <c r="N14" s="681"/>
      <c r="O14" s="682"/>
      <c r="P14" s="683"/>
      <c r="Q14" s="681"/>
      <c r="R14" s="682"/>
      <c r="S14" s="625"/>
      <c r="U14" s="621"/>
      <c r="V14" s="621"/>
      <c r="W14" s="621"/>
      <c r="X14" s="621"/>
      <c r="Y14" s="621"/>
    </row>
    <row r="15" spans="2:25" ht="17" x14ac:dyDescent="0.4">
      <c r="B15" s="731" t="s">
        <v>486</v>
      </c>
      <c r="C15" s="683"/>
      <c r="D15" s="681"/>
      <c r="E15" s="682"/>
      <c r="F15" s="679"/>
      <c r="G15" s="683"/>
      <c r="H15" s="681"/>
      <c r="I15" s="682"/>
      <c r="J15" s="683"/>
      <c r="K15" s="681"/>
      <c r="L15" s="682"/>
      <c r="M15" s="683"/>
      <c r="N15" s="681"/>
      <c r="O15" s="682"/>
      <c r="P15" s="683"/>
      <c r="Q15" s="681"/>
      <c r="R15" s="682"/>
      <c r="S15" s="625"/>
      <c r="U15" s="621"/>
      <c r="V15" s="621"/>
      <c r="W15" s="621"/>
      <c r="X15" s="621"/>
      <c r="Y15" s="621"/>
    </row>
    <row r="16" spans="2:25" ht="17" x14ac:dyDescent="0.4">
      <c r="B16" s="731" t="s">
        <v>375</v>
      </c>
      <c r="C16" s="683"/>
      <c r="D16" s="1146" t="str">
        <f>IF(C24&gt;70%,"Max LTV 70%","")</f>
        <v>Max LTV 70%</v>
      </c>
      <c r="E16" s="1086"/>
      <c r="F16" s="684"/>
      <c r="G16" s="683"/>
      <c r="H16" s="681"/>
      <c r="I16" s="682"/>
      <c r="J16" s="683"/>
      <c r="K16" s="681"/>
      <c r="L16" s="682"/>
      <c r="M16" s="683"/>
      <c r="N16" s="681"/>
      <c r="O16" s="682"/>
      <c r="P16" s="683"/>
      <c r="Q16" s="681"/>
      <c r="R16" s="682"/>
      <c r="S16" s="625"/>
      <c r="U16" s="621"/>
      <c r="V16" s="621"/>
      <c r="W16" s="621"/>
      <c r="X16" s="621"/>
      <c r="Y16" s="621"/>
    </row>
    <row r="17" spans="2:36" ht="17" x14ac:dyDescent="0.4">
      <c r="B17" s="731" t="s">
        <v>376</v>
      </c>
      <c r="C17" s="680"/>
      <c r="D17" s="633" t="s">
        <v>377</v>
      </c>
      <c r="E17" s="634">
        <f>MIN(25,70-MAX(C4,H4))</f>
        <v>25</v>
      </c>
      <c r="F17" s="685"/>
      <c r="G17" s="680"/>
      <c r="H17" s="633"/>
      <c r="I17" s="634"/>
      <c r="J17" s="680"/>
      <c r="K17" s="633"/>
      <c r="L17" s="634"/>
      <c r="M17" s="680"/>
      <c r="N17" s="633"/>
      <c r="O17" s="634"/>
      <c r="P17" s="680"/>
      <c r="Q17" s="633"/>
      <c r="R17" s="634"/>
      <c r="S17" s="625"/>
      <c r="U17" s="621"/>
      <c r="V17" s="843"/>
      <c r="W17" s="621"/>
      <c r="X17" s="621"/>
      <c r="Y17" s="621"/>
    </row>
    <row r="18" spans="2:36" ht="17" x14ac:dyDescent="0.4">
      <c r="B18" s="731" t="s">
        <v>555</v>
      </c>
      <c r="C18" s="680"/>
      <c r="D18" s="686" t="b">
        <f>Validation!A2</f>
        <v>0</v>
      </c>
      <c r="E18" s="682"/>
      <c r="F18" s="679"/>
      <c r="G18" s="776" t="s">
        <v>211</v>
      </c>
      <c r="H18" s="1093"/>
      <c r="I18" s="1094"/>
      <c r="J18" s="776" t="s">
        <v>211</v>
      </c>
      <c r="K18" s="1093"/>
      <c r="L18" s="1094"/>
      <c r="M18" s="776" t="s">
        <v>211</v>
      </c>
      <c r="N18" s="1095"/>
      <c r="O18" s="1096"/>
      <c r="P18" s="776" t="s">
        <v>211</v>
      </c>
      <c r="Q18" s="1093"/>
      <c r="R18" s="1094"/>
      <c r="S18" s="625"/>
      <c r="U18" s="621"/>
      <c r="V18" s="621"/>
      <c r="W18" s="621"/>
      <c r="X18" s="621"/>
      <c r="Y18" s="621"/>
    </row>
    <row r="19" spans="2:36" ht="17" x14ac:dyDescent="0.4">
      <c r="B19" s="865" t="s">
        <v>614</v>
      </c>
      <c r="C19" s="882"/>
      <c r="D19" s="867"/>
      <c r="E19" s="868"/>
      <c r="F19" s="679"/>
      <c r="G19" s="866"/>
      <c r="H19" s="881"/>
      <c r="I19" s="880"/>
      <c r="J19" s="866"/>
      <c r="K19" s="881"/>
      <c r="L19" s="880"/>
      <c r="M19" s="866"/>
      <c r="N19" s="881"/>
      <c r="O19" s="880"/>
      <c r="P19" s="866"/>
      <c r="Q19" s="881"/>
      <c r="R19" s="880"/>
      <c r="S19" s="625"/>
      <c r="U19" s="621"/>
      <c r="V19" s="621"/>
      <c r="W19" s="621"/>
      <c r="X19" s="621"/>
      <c r="Y19" s="621"/>
      <c r="AJ19" s="620"/>
    </row>
    <row r="20" spans="2:36" ht="17" hidden="1" x14ac:dyDescent="0.4">
      <c r="B20" s="731" t="s">
        <v>380</v>
      </c>
      <c r="C20" s="678"/>
      <c r="D20" s="1127"/>
      <c r="E20" s="1128"/>
      <c r="F20" s="679"/>
      <c r="G20" s="678"/>
      <c r="H20" s="1127"/>
      <c r="I20" s="1128"/>
      <c r="J20" s="678"/>
      <c r="K20" s="1127"/>
      <c r="L20" s="1128"/>
      <c r="M20" s="678"/>
      <c r="N20" s="1127"/>
      <c r="O20" s="1128"/>
      <c r="P20" s="678"/>
      <c r="Q20" s="1127"/>
      <c r="R20" s="1128"/>
      <c r="S20" s="625"/>
      <c r="U20" s="621"/>
      <c r="V20" s="621"/>
      <c r="W20" s="621"/>
      <c r="X20" s="621"/>
      <c r="Y20" s="621"/>
    </row>
    <row r="21" spans="2:36" ht="9" customHeight="1" x14ac:dyDescent="0.35">
      <c r="B21" s="622"/>
      <c r="C21" s="687"/>
      <c r="D21" s="688"/>
      <c r="E21" s="689"/>
      <c r="F21" s="690"/>
      <c r="G21" s="691"/>
      <c r="H21" s="692"/>
      <c r="I21" s="689" t="b">
        <f>IF(G18="Manual Input",IF(H20&lt;3%,3%,H20))</f>
        <v>0</v>
      </c>
      <c r="J21" s="691"/>
      <c r="K21" s="692"/>
      <c r="L21" s="689" t="b">
        <f>IF(J18="Manual Input",IF(K20&lt;3%,3%,K20))</f>
        <v>0</v>
      </c>
      <c r="M21" s="691"/>
      <c r="N21" s="692"/>
      <c r="O21" s="689" t="b">
        <f>IF(M18="Manual Input",IF(N20&lt;3%,3%,N20))</f>
        <v>0</v>
      </c>
      <c r="P21" s="691"/>
      <c r="Q21" s="692"/>
      <c r="R21" s="693" t="b">
        <f>IF(P18="Manual Input",IF(Q20&lt;3%,3%,Q20))</f>
        <v>0</v>
      </c>
      <c r="S21" s="625"/>
      <c r="U21" s="621"/>
      <c r="V21" s="621"/>
      <c r="W21" s="621"/>
      <c r="X21" s="621"/>
      <c r="Y21" s="621"/>
    </row>
    <row r="22" spans="2:36" ht="15.5" x14ac:dyDescent="0.35">
      <c r="B22" s="715" t="s">
        <v>381</v>
      </c>
      <c r="C22" s="694" t="str">
        <f>IF(C7="","",C15)</f>
        <v/>
      </c>
      <c r="D22" s="698"/>
      <c r="E22" s="696"/>
      <c r="F22" s="679"/>
      <c r="G22" s="697" t="str">
        <f>IF(G7="","",G15)</f>
        <v/>
      </c>
      <c r="H22" s="698"/>
      <c r="I22" s="698"/>
      <c r="J22" s="697" t="str">
        <f>IF(J7="","",J15)</f>
        <v/>
      </c>
      <c r="K22" s="698"/>
      <c r="L22" s="698"/>
      <c r="M22" s="697" t="str">
        <f>IF(M7="","",M15)</f>
        <v/>
      </c>
      <c r="N22" s="698"/>
      <c r="O22" s="698"/>
      <c r="P22" s="697" t="str">
        <f>IF(P7="","",P15)</f>
        <v/>
      </c>
      <c r="Q22" s="698"/>
      <c r="R22" s="696"/>
      <c r="S22" s="625"/>
      <c r="U22" s="621"/>
      <c r="V22" s="621"/>
      <c r="W22" s="621"/>
      <c r="X22" s="621"/>
      <c r="Y22" s="621"/>
    </row>
    <row r="23" spans="2:36" ht="15.5" x14ac:dyDescent="0.35">
      <c r="B23" s="715" t="s">
        <v>382</v>
      </c>
      <c r="C23" s="694">
        <f>IF(C7="",0,C14-C16)</f>
        <v>0</v>
      </c>
      <c r="D23" s="698"/>
      <c r="E23" s="696"/>
      <c r="F23" s="679"/>
      <c r="G23" s="697">
        <f>IF(G7="",0,G14-G16)</f>
        <v>0</v>
      </c>
      <c r="H23" s="698"/>
      <c r="I23" s="698"/>
      <c r="J23" s="697">
        <f>IF(J7="",0,J14-J16)</f>
        <v>0</v>
      </c>
      <c r="K23" s="698"/>
      <c r="L23" s="698"/>
      <c r="M23" s="697">
        <f>IF(M7="",0,M14-M16)</f>
        <v>0</v>
      </c>
      <c r="N23" s="698"/>
      <c r="O23" s="698"/>
      <c r="P23" s="697">
        <f>IF(P7="",0,P14-P16)</f>
        <v>0</v>
      </c>
      <c r="Q23" s="698"/>
      <c r="R23" s="696"/>
      <c r="S23" s="625"/>
      <c r="U23" s="621"/>
      <c r="V23" s="621"/>
      <c r="W23" s="621"/>
      <c r="X23" s="621"/>
      <c r="Y23" s="621"/>
    </row>
    <row r="24" spans="2:36" ht="15.5" x14ac:dyDescent="0.35">
      <c r="B24" s="715" t="s">
        <v>209</v>
      </c>
      <c r="C24" s="699" t="str">
        <f>IF(C7="","",C16/C14)</f>
        <v/>
      </c>
      <c r="D24" s="1085" t="str">
        <f>IF(C24&gt;70%,"Max LTV 70%","")</f>
        <v>Max LTV 70%</v>
      </c>
      <c r="E24" s="1086"/>
      <c r="F24" s="685"/>
      <c r="G24" s="872">
        <f>IF(G7="",0,G16/G14)</f>
        <v>0</v>
      </c>
      <c r="H24" s="874"/>
      <c r="I24" s="874"/>
      <c r="J24" s="872" t="str">
        <f>IF(J7="","",J16/J14)</f>
        <v/>
      </c>
      <c r="K24" s="874"/>
      <c r="L24" s="874"/>
      <c r="M24" s="872" t="str">
        <f>IF(M7="","",M16/M14)</f>
        <v/>
      </c>
      <c r="N24" s="874"/>
      <c r="O24" s="874"/>
      <c r="P24" s="872">
        <f>IF(P7="",0,P16/P14)</f>
        <v>0</v>
      </c>
      <c r="Q24" s="874"/>
      <c r="R24" s="696"/>
      <c r="S24" s="625"/>
      <c r="U24" s="621"/>
      <c r="V24" s="621"/>
      <c r="W24" s="621"/>
      <c r="X24" s="621"/>
      <c r="Y24" s="621"/>
    </row>
    <row r="25" spans="2:36" ht="15.5" x14ac:dyDescent="0.35">
      <c r="B25" s="715" t="s">
        <v>383</v>
      </c>
      <c r="C25" s="702" t="str">
        <f>IF(C7="","",C15*12/C14)</f>
        <v/>
      </c>
      <c r="D25" s="730"/>
      <c r="E25" s="696"/>
      <c r="F25" s="679"/>
      <c r="G25" s="873">
        <f>IF(G7="",0,G15*12/G14)</f>
        <v>0</v>
      </c>
      <c r="H25" s="700"/>
      <c r="I25" s="700"/>
      <c r="J25" s="873" t="str">
        <f>IF(J7="","",J15*12/J14)</f>
        <v/>
      </c>
      <c r="K25" s="700"/>
      <c r="L25" s="700"/>
      <c r="M25" s="873" t="str">
        <f>IF(M7="","",M15*12/M14)</f>
        <v/>
      </c>
      <c r="N25" s="700"/>
      <c r="O25" s="700"/>
      <c r="P25" s="873" t="str">
        <f>IF(P7="","",P15*12/P14)</f>
        <v/>
      </c>
      <c r="Q25" s="700"/>
      <c r="R25" s="696"/>
      <c r="S25" s="625"/>
      <c r="U25" s="621"/>
      <c r="V25" s="621"/>
      <c r="W25" s="621"/>
      <c r="X25" s="621"/>
      <c r="Y25" s="621"/>
    </row>
    <row r="26" spans="2:36" ht="15.5" hidden="1" x14ac:dyDescent="0.35">
      <c r="B26" s="715" t="s">
        <v>384</v>
      </c>
      <c r="C26" s="702" t="str">
        <f>IF(C7="","",C22*12/C14)</f>
        <v/>
      </c>
      <c r="D26" s="674" t="str">
        <f>C22</f>
        <v/>
      </c>
      <c r="E26" s="696"/>
      <c r="F26" s="679"/>
      <c r="G26" s="675" t="str">
        <f>IF(G7="","",G22*12/G14)</f>
        <v/>
      </c>
      <c r="H26" s="635" t="str">
        <f t="shared" ref="H26" si="0">G22</f>
        <v/>
      </c>
      <c r="I26" s="700"/>
      <c r="J26" s="675" t="str">
        <f>IF(J7="","",J22*12/J14)</f>
        <v/>
      </c>
      <c r="K26" s="700" t="str">
        <f t="shared" ref="K26" si="1">J22</f>
        <v/>
      </c>
      <c r="L26" s="700"/>
      <c r="M26" s="675" t="str">
        <f>IF(M7="","",M22*12/M14)</f>
        <v/>
      </c>
      <c r="N26" s="700" t="str">
        <f t="shared" ref="N26" si="2">M22</f>
        <v/>
      </c>
      <c r="O26" s="700"/>
      <c r="P26" s="675" t="str">
        <f>IF(P7="","",P22*12/P14)</f>
        <v/>
      </c>
      <c r="Q26" s="700" t="str">
        <f t="shared" ref="Q26" si="3">P22</f>
        <v/>
      </c>
      <c r="R26" s="696"/>
      <c r="S26" s="625"/>
      <c r="U26" s="621"/>
      <c r="V26" s="621"/>
      <c r="W26" s="621"/>
      <c r="X26" s="621"/>
      <c r="Y26" s="621"/>
    </row>
    <row r="27" spans="2:36" ht="9.75" customHeight="1" x14ac:dyDescent="0.35">
      <c r="B27" s="690"/>
      <c r="C27" s="687"/>
      <c r="D27" s="688"/>
      <c r="E27" s="690"/>
      <c r="F27" s="690"/>
      <c r="G27" s="691"/>
      <c r="H27" s="692"/>
      <c r="I27" s="692"/>
      <c r="J27" s="727"/>
      <c r="K27" s="692"/>
      <c r="L27" s="692"/>
      <c r="M27" s="691"/>
      <c r="N27" s="692"/>
      <c r="O27" s="692"/>
      <c r="P27" s="691"/>
      <c r="Q27" s="692"/>
      <c r="R27" s="690"/>
      <c r="S27" s="625"/>
      <c r="U27" s="621"/>
      <c r="V27" s="621"/>
      <c r="W27" s="621"/>
      <c r="X27" s="621"/>
      <c r="Y27" s="621"/>
    </row>
    <row r="28" spans="2:36" ht="15.5" x14ac:dyDescent="0.35">
      <c r="B28" s="716" t="s">
        <v>487</v>
      </c>
      <c r="C28" s="725" t="str">
        <f>IF(C7="","",INDEX('Daft Yields'!$A$3:$F$57,MATCH('BTL Template'!C7,'Daft Yields'!$A$3:$A$57,0),MATCH('BTL Template'!C11,'Daft Yields'!$A$3:$F$3,0)))</f>
        <v/>
      </c>
      <c r="D28" s="700"/>
      <c r="E28" s="696"/>
      <c r="F28" s="679"/>
      <c r="G28" s="676" t="str">
        <f>IF(G7="","",INDEX('Daft Yields'!$A$3:$F$57,MATCH('BTL Template'!G7,'Daft Yields'!$A$3:$A$57,0),MATCH('BTL Template'!G11,'Daft Yields'!$A$3:$F$3,0)))</f>
        <v/>
      </c>
      <c r="H28" s="703"/>
      <c r="I28" s="703"/>
      <c r="J28" s="675" t="str">
        <f>IF(J7="","",INDEX('Daft Yields'!$A$3:$F$57,MATCH('BTL Template'!J7,'Daft Yields'!$A$3:$A$57,0),MATCH('BTL Template'!J11,'Daft Yields'!$A$3:$F$3,0)))</f>
        <v/>
      </c>
      <c r="K28" s="700"/>
      <c r="L28" s="700"/>
      <c r="M28" s="675" t="str">
        <f>IF(M7="","",INDEX('Daft Yields'!$A$3:$F$57,MATCH('BTL Template'!M7,'Daft Yields'!$A$3:$A$57,0),MATCH('BTL Template'!M11,'Daft Yields'!$A$3:$F$3,0)))</f>
        <v/>
      </c>
      <c r="N28" s="700"/>
      <c r="O28" s="700"/>
      <c r="P28" s="675" t="str">
        <f>IF(P7="","",INDEX('Daft Yields'!$A$3:$F$57,MATCH('BTL Template'!P7,'Daft Yields'!$A$3:$A$57,0),MATCH('BTL Template'!P11,'Daft Yields'!$A$3:$F$3,0)))</f>
        <v/>
      </c>
      <c r="Q28" s="700"/>
      <c r="R28" s="696"/>
      <c r="S28" s="625"/>
      <c r="U28" s="621"/>
    </row>
    <row r="29" spans="2:36" ht="15.5" x14ac:dyDescent="0.35">
      <c r="B29" s="716" t="s">
        <v>488</v>
      </c>
      <c r="C29" s="726" t="str">
        <f>IF(C7="","",INDEX('Daft Rents'!$B$4:$G$58,MATCH('BTL Template'!C7,'Daft Rents'!$B$4:$B$58,0),MATCH('BTL Template'!C11,'Daft Rents'!$B$4:$G$4,0)))</f>
        <v/>
      </c>
      <c r="D29" s="698"/>
      <c r="E29" s="696"/>
      <c r="F29" s="679"/>
      <c r="G29" s="697" t="str">
        <f>IF(G7="","",INDEX('Daft Rents'!$B$4:$G$58,MATCH('BTL Template'!G7,'Daft Rents'!$B$4:$B$58,0),MATCH('BTL Template'!G11,'Daft Rents'!$B$4:$G$4,0)))</f>
        <v/>
      </c>
      <c r="H29" s="698"/>
      <c r="I29" s="704"/>
      <c r="J29" s="698" t="str">
        <f>IF(J7="","",INDEX('Daft Rents'!$B$4:$G$58,MATCH('BTL Template'!J7,'Daft Rents'!$B$4:$B$58,0),MATCH('BTL Template'!J11,'Daft Rents'!$B$4:$G$4,0)))</f>
        <v/>
      </c>
      <c r="K29" s="698"/>
      <c r="L29" s="698"/>
      <c r="M29" s="697" t="str">
        <f>IF(M7="","",INDEX('Daft Rents'!$B$4:$G$58,MATCH('BTL Template'!M7,'Daft Rents'!$B$4:$B$58,0),MATCH('BTL Template'!M11,'Daft Rents'!$B$4:$G$4,0)))</f>
        <v/>
      </c>
      <c r="N29" s="698"/>
      <c r="O29" s="698"/>
      <c r="P29" s="697" t="str">
        <f>IF(P7="","",INDEX('Daft Rents'!$B$4:$G$58,MATCH('BTL Template'!P7,'Daft Rents'!$B$4:$B$58,0),MATCH('BTL Template'!P11,'Daft Rents'!$B$4:$G$4,0)))</f>
        <v/>
      </c>
      <c r="Q29" s="698"/>
      <c r="R29" s="696"/>
      <c r="S29" s="625"/>
      <c r="U29" s="621"/>
      <c r="V29" s="860" t="s">
        <v>612</v>
      </c>
      <c r="W29" s="621"/>
      <c r="X29" s="621"/>
      <c r="Y29" s="621"/>
    </row>
    <row r="30" spans="2:36" ht="7.5" customHeight="1" x14ac:dyDescent="0.35">
      <c r="B30" s="690"/>
      <c r="C30" s="687"/>
      <c r="D30" s="688"/>
      <c r="E30" s="690"/>
      <c r="F30" s="679"/>
      <c r="G30" s="691"/>
      <c r="H30" s="692"/>
      <c r="I30" s="692"/>
      <c r="J30" s="691"/>
      <c r="K30" s="692"/>
      <c r="L30" s="692"/>
      <c r="M30" s="691"/>
      <c r="N30" s="692"/>
      <c r="O30" s="692"/>
      <c r="P30" s="691"/>
      <c r="Q30" s="692"/>
      <c r="R30" s="690"/>
      <c r="S30" s="625"/>
      <c r="U30" s="621"/>
      <c r="V30" s="621"/>
      <c r="W30" s="621"/>
      <c r="X30" s="621"/>
      <c r="Y30" s="621"/>
    </row>
    <row r="31" spans="2:36" ht="15.5" x14ac:dyDescent="0.35">
      <c r="B31" s="717" t="s">
        <v>385</v>
      </c>
      <c r="C31" s="705" t="str">
        <f>IF(C7="","",-PMT(Validation!A2/12,'BTL Template'!C17*12,'BTL Template'!C16))</f>
        <v/>
      </c>
      <c r="D31" s="636" t="b">
        <f>Validation!A2</f>
        <v>0</v>
      </c>
      <c r="E31" s="696"/>
      <c r="F31" s="679"/>
      <c r="G31" s="697">
        <f>IF(G19="Interest Only", V35, V31)</f>
        <v>0</v>
      </c>
      <c r="H31" s="695">
        <f>H18</f>
        <v>0</v>
      </c>
      <c r="I31" s="707"/>
      <c r="J31" s="698">
        <f>IF(J19="Interest Only", Y35, Y31)</f>
        <v>0</v>
      </c>
      <c r="K31" s="695">
        <f>K18</f>
        <v>0</v>
      </c>
      <c r="L31" s="695"/>
      <c r="M31" s="869">
        <f>IF(M19="Interest Only", AB35, AB31)</f>
        <v>0</v>
      </c>
      <c r="N31" s="695">
        <f>N18</f>
        <v>0</v>
      </c>
      <c r="O31" s="695"/>
      <c r="P31" s="869">
        <f>IF(P19="Interest Only", AE35, AE31)</f>
        <v>0</v>
      </c>
      <c r="Q31" s="695">
        <f>Q18</f>
        <v>0</v>
      </c>
      <c r="R31" s="696"/>
      <c r="S31" s="625"/>
      <c r="U31" s="621"/>
      <c r="V31" s="861">
        <f>IF(G16=0,0,IF(G7="",0,-PMT(H18/12,'BTL Template'!G17*12,'BTL Template'!G16)))</f>
        <v>0</v>
      </c>
      <c r="W31" s="862">
        <f>H18</f>
        <v>0</v>
      </c>
      <c r="X31" s="862"/>
      <c r="Y31" s="861">
        <f>IF(J16=0,0,IF(J7="","",-PMT(K18/12,'BTL Template'!J17*12,'BTL Template'!J16)))</f>
        <v>0</v>
      </c>
      <c r="Z31" s="862">
        <f>K18</f>
        <v>0</v>
      </c>
      <c r="AA31" s="862"/>
      <c r="AB31" s="861">
        <f>IF(M16=0,0,IF(M7="","",-PMT(N18/12,'BTL Template'!M17*12,'BTL Template'!M16)))</f>
        <v>0</v>
      </c>
      <c r="AC31" s="862">
        <f>N18</f>
        <v>0</v>
      </c>
      <c r="AD31" s="862"/>
      <c r="AE31" s="861">
        <f>IF(P16=0,0,IF(P7="","",-PMT(Q18/12,'BTL Template'!P17*12,'BTL Template'!P16)))</f>
        <v>0</v>
      </c>
      <c r="AF31" s="862">
        <f>Q18</f>
        <v>0</v>
      </c>
    </row>
    <row r="32" spans="2:36" ht="15.5" x14ac:dyDescent="0.35">
      <c r="B32" s="717" t="s">
        <v>386</v>
      </c>
      <c r="C32" s="708" t="str">
        <f>IF(C7="","",-PMT(Validation!B2/12,'BTL Template'!C17*12,'BTL Template'!C16))</f>
        <v/>
      </c>
      <c r="D32" s="637">
        <f>Validation!B2</f>
        <v>7.0499999999999993E-2</v>
      </c>
      <c r="E32" s="696"/>
      <c r="F32" s="679"/>
      <c r="G32" s="870">
        <f>IF(G19="Interest Only", V36, V32)</f>
        <v>0</v>
      </c>
      <c r="H32" s="710">
        <f>H18+2%</f>
        <v>0.02</v>
      </c>
      <c r="I32" s="710"/>
      <c r="J32" s="871">
        <f>IF(J19="Interest Only", Y36, Y32)</f>
        <v>0</v>
      </c>
      <c r="K32" s="709">
        <f>K18+2%</f>
        <v>0.02</v>
      </c>
      <c r="L32" s="709"/>
      <c r="M32" s="871">
        <f>IF(M19="Interest Only", AB36, AB32)</f>
        <v>0</v>
      </c>
      <c r="N32" s="709">
        <f>N18+2%</f>
        <v>0.02</v>
      </c>
      <c r="O32" s="709"/>
      <c r="P32" s="871">
        <f>IF(P19="Interest Only", AE36, AE32)</f>
        <v>0</v>
      </c>
      <c r="Q32" s="709">
        <f>Q18+2%</f>
        <v>0.02</v>
      </c>
      <c r="R32" s="696"/>
      <c r="S32" s="625"/>
      <c r="U32" s="621"/>
      <c r="V32" s="863">
        <f>IF(G16=0,0,IF(G7="",0,-PMT(H32/12,'BTL Template'!G17*12,'BTL Template'!G16)))</f>
        <v>0</v>
      </c>
      <c r="W32" s="864">
        <f>H18+2%</f>
        <v>0.02</v>
      </c>
      <c r="X32" s="864"/>
      <c r="Y32" s="863">
        <f>IF(J16=0,0,IF(J7="","",-PMT(K32/12,'BTL Template'!J17*12,'BTL Template'!J16)))</f>
        <v>0</v>
      </c>
      <c r="Z32" s="864">
        <f>K18+2%</f>
        <v>0.02</v>
      </c>
      <c r="AA32" s="864"/>
      <c r="AB32" s="863">
        <f>IF(M16=0,0,IF(M7="","",-PMT(N32/12,'BTL Template'!M17*12,'BTL Template'!M16)))</f>
        <v>0</v>
      </c>
      <c r="AC32" s="864">
        <f>N18+2%</f>
        <v>0.02</v>
      </c>
      <c r="AD32" s="864"/>
      <c r="AE32" s="863">
        <f>IF(P16=0,0,IF(P7="","",-PMT(Q32/12,'BTL Template'!P17*12,'BTL Template'!P16)))</f>
        <v>0</v>
      </c>
      <c r="AF32" s="864">
        <f>Q18+2%</f>
        <v>0.02</v>
      </c>
    </row>
    <row r="33" spans="2:32" ht="15.5" x14ac:dyDescent="0.35">
      <c r="B33" s="717" t="s">
        <v>387</v>
      </c>
      <c r="C33" s="705" t="str">
        <f>IF(C7="","",C32*1.2)</f>
        <v/>
      </c>
      <c r="D33" s="698"/>
      <c r="E33" s="696"/>
      <c r="F33" s="679"/>
      <c r="G33" s="706">
        <f>IF(G7="",0,G32*1.2)</f>
        <v>0</v>
      </c>
      <c r="H33" s="698"/>
      <c r="I33" s="698"/>
      <c r="J33" s="706">
        <f>IF(J7="",0,J32*1.2)</f>
        <v>0</v>
      </c>
      <c r="K33" s="698"/>
      <c r="L33" s="698"/>
      <c r="M33" s="706">
        <f>IF(M7="",0,M32*1.2)</f>
        <v>0</v>
      </c>
      <c r="N33" s="698"/>
      <c r="O33" s="698"/>
      <c r="P33" s="706">
        <f>IF(P7="",0,P32*1.2)</f>
        <v>0</v>
      </c>
      <c r="Q33" s="698"/>
      <c r="R33" s="696"/>
      <c r="S33" s="625"/>
      <c r="U33" s="621"/>
      <c r="V33" s="621"/>
      <c r="W33" s="621"/>
      <c r="X33" s="621"/>
      <c r="Y33" s="621"/>
    </row>
    <row r="34" spans="2:32" ht="12" customHeight="1" x14ac:dyDescent="0.35">
      <c r="B34" s="690"/>
      <c r="C34" s="687"/>
      <c r="D34" s="688"/>
      <c r="E34" s="690"/>
      <c r="F34" s="679"/>
      <c r="G34" s="691"/>
      <c r="H34" s="692"/>
      <c r="I34" s="692"/>
      <c r="J34" s="691"/>
      <c r="K34" s="692"/>
      <c r="L34" s="692"/>
      <c r="M34" s="691"/>
      <c r="N34" s="692"/>
      <c r="O34" s="692"/>
      <c r="P34" s="691"/>
      <c r="Q34" s="692"/>
      <c r="R34" s="690"/>
      <c r="S34" s="625"/>
      <c r="U34" s="621"/>
      <c r="V34" s="860" t="s">
        <v>613</v>
      </c>
      <c r="W34" s="621"/>
      <c r="X34" s="621"/>
      <c r="Y34" s="621"/>
    </row>
    <row r="35" spans="2:32" ht="15.5" x14ac:dyDescent="0.35">
      <c r="B35" s="718" t="s">
        <v>388</v>
      </c>
      <c r="C35" s="723" t="str">
        <f>IF(C7="","",C22/C32)</f>
        <v/>
      </c>
      <c r="D35" s="711" t="s">
        <v>389</v>
      </c>
      <c r="E35" s="696"/>
      <c r="F35" s="679"/>
      <c r="G35" s="677" t="str">
        <f>IF(G7="","",G22/G32)</f>
        <v/>
      </c>
      <c r="H35" s="673" t="s">
        <v>389</v>
      </c>
      <c r="I35" s="701"/>
      <c r="J35" s="677" t="str">
        <f>IF(J7="","",J22/J32)</f>
        <v/>
      </c>
      <c r="K35" s="673" t="s">
        <v>389</v>
      </c>
      <c r="L35" s="701"/>
      <c r="M35" s="677" t="str">
        <f>IF(M7="","",M22/M32)</f>
        <v/>
      </c>
      <c r="N35" s="673" t="s">
        <v>389</v>
      </c>
      <c r="O35" s="701"/>
      <c r="P35" s="677" t="str">
        <f>IF(P7="","",P22/P32)</f>
        <v/>
      </c>
      <c r="Q35" s="673" t="s">
        <v>389</v>
      </c>
      <c r="R35" s="696"/>
      <c r="S35" s="625"/>
      <c r="U35" s="621"/>
      <c r="V35" s="861">
        <f>IF(G16=0,0,IF(G7="",0,-IPMT(H18/12,1,'BTL Template'!G17*12,'BTL Template'!G16)))</f>
        <v>0</v>
      </c>
      <c r="W35" s="862">
        <f>H18</f>
        <v>0</v>
      </c>
      <c r="X35" s="862"/>
      <c r="Y35" s="861">
        <f>IF(J16=0,0,IF(J7="","",-IPMT(K18/12,1,'BTL Template'!J17*12,'BTL Template'!J16)))</f>
        <v>0</v>
      </c>
      <c r="Z35" s="862">
        <f>K18</f>
        <v>0</v>
      </c>
      <c r="AA35" s="862"/>
      <c r="AB35" s="861">
        <f>IF(M16=0,0,IF(M7="","",-IPMT(N18/12,1,'BTL Template'!M17*12,'BTL Template'!M16)))</f>
        <v>0</v>
      </c>
      <c r="AC35" s="862">
        <f>N18</f>
        <v>0</v>
      </c>
      <c r="AD35" s="862"/>
      <c r="AE35" s="861">
        <f>IF(P16=0,0,IF(P7="","",-IPMT(Q18/12,1,'BTL Template'!P17*12,'BTL Template'!P16)))</f>
        <v>0</v>
      </c>
      <c r="AF35" s="862">
        <f>Q18</f>
        <v>0</v>
      </c>
    </row>
    <row r="36" spans="2:32" ht="15.5" x14ac:dyDescent="0.35">
      <c r="B36" s="719" t="s">
        <v>390</v>
      </c>
      <c r="C36" s="712">
        <f>IF(C7="",0,C22-C33)</f>
        <v>0</v>
      </c>
      <c r="D36" s="1129" t="s">
        <v>391</v>
      </c>
      <c r="E36" s="1130"/>
      <c r="F36" s="679"/>
      <c r="G36" s="706">
        <f>IF(G7="",0,G22-G33)</f>
        <v>0</v>
      </c>
      <c r="H36" s="713"/>
      <c r="I36" s="713"/>
      <c r="J36" s="706">
        <f>IF(J7="",0,J22-J33)</f>
        <v>0</v>
      </c>
      <c r="K36" s="713"/>
      <c r="L36" s="713"/>
      <c r="M36" s="706">
        <f>IF(M7="",0,M22-M33)</f>
        <v>0</v>
      </c>
      <c r="N36" s="713"/>
      <c r="O36" s="713"/>
      <c r="P36" s="706">
        <f>IF(P7="",0,P22-P33)</f>
        <v>0</v>
      </c>
      <c r="Q36" s="713"/>
      <c r="R36" s="714"/>
      <c r="S36" s="625"/>
      <c r="U36" s="621"/>
      <c r="V36" s="863">
        <f>IF(G16=0,0,IF(G7="",0,-IPMT(H32/12,1,'BTL Template'!G17*12,'BTL Template'!G16)))</f>
        <v>0</v>
      </c>
      <c r="W36" s="864">
        <f>H18+2%</f>
        <v>0.02</v>
      </c>
      <c r="X36" s="864"/>
      <c r="Y36" s="863">
        <f>IF(J16=0,0,IF(J7="","",-IPMT(K32/12,1,'BTL Template'!J17*12,'BTL Template'!J16)))</f>
        <v>0</v>
      </c>
      <c r="Z36" s="864">
        <f>K18+2%</f>
        <v>0.02</v>
      </c>
      <c r="AA36" s="864"/>
      <c r="AB36" s="863">
        <f>IF(M16=0,0,IF(M7="","",-IPMT(N32/12,1,'BTL Template'!M17*12,'BTL Template'!M16)))</f>
        <v>0</v>
      </c>
      <c r="AC36" s="864">
        <f>N18+2%</f>
        <v>0.02</v>
      </c>
      <c r="AD36" s="864"/>
      <c r="AE36" s="863">
        <f>IF(P16=0,0,IF(P7="","",-IPMT(Q32/12,1,'BTL Template'!P17*12,'BTL Template'!P16)))</f>
        <v>0</v>
      </c>
      <c r="AF36" s="864">
        <f>Q18+2%</f>
        <v>0.02</v>
      </c>
    </row>
    <row r="37" spans="2:32" ht="13.5" customHeight="1" x14ac:dyDescent="0.35">
      <c r="B37" s="690"/>
      <c r="C37" s="687"/>
      <c r="D37" s="688"/>
      <c r="E37" s="690"/>
      <c r="F37" s="679"/>
      <c r="G37" s="691"/>
      <c r="H37" s="692"/>
      <c r="I37" s="692"/>
      <c r="J37" s="691"/>
      <c r="K37" s="692"/>
      <c r="L37" s="692"/>
      <c r="M37" s="691"/>
      <c r="N37" s="692"/>
      <c r="O37" s="692"/>
      <c r="P37" s="691"/>
      <c r="Q37" s="692"/>
      <c r="R37" s="690"/>
      <c r="S37" s="625"/>
      <c r="U37" s="621"/>
      <c r="V37" s="621"/>
      <c r="W37" s="621"/>
      <c r="X37" s="621"/>
      <c r="Y37" s="621"/>
    </row>
    <row r="38" spans="2:32" ht="21.75" customHeight="1" x14ac:dyDescent="0.35">
      <c r="B38" s="720" t="s">
        <v>392</v>
      </c>
      <c r="C38" s="1116" t="str">
        <f>IF(C36&lt;0,"Failed","Pass")</f>
        <v>Pass</v>
      </c>
      <c r="D38" s="1117"/>
      <c r="E38" s="1118"/>
      <c r="F38" s="679"/>
      <c r="G38" s="1119" t="str">
        <f>IF(G36&lt;0,"Fail","Pass")</f>
        <v>Pass</v>
      </c>
      <c r="H38" s="1120"/>
      <c r="I38" s="1121"/>
      <c r="J38" s="1119" t="str">
        <f>IF(J36&lt;0,"Fail","Pass")</f>
        <v>Pass</v>
      </c>
      <c r="K38" s="1120"/>
      <c r="L38" s="1121"/>
      <c r="M38" s="1119" t="str">
        <f>IF(M36&lt;0,"Fail","Pass")</f>
        <v>Pass</v>
      </c>
      <c r="N38" s="1120"/>
      <c r="O38" s="1121"/>
      <c r="P38" s="1119" t="str">
        <f>IF(P36&lt;0,"Fail","Pass")</f>
        <v>Pass</v>
      </c>
      <c r="Q38" s="1120"/>
      <c r="R38" s="1121"/>
      <c r="S38" s="625"/>
      <c r="U38" s="621"/>
      <c r="V38" s="621"/>
      <c r="W38" s="621"/>
      <c r="X38" s="621"/>
      <c r="Y38" s="621"/>
    </row>
    <row r="39" spans="2:32" ht="21.75" customHeight="1" x14ac:dyDescent="0.35">
      <c r="B39" s="720" t="s">
        <v>489</v>
      </c>
      <c r="C39" s="1116" t="e">
        <f>IF(C28-C25&gt;=2%,"Failed - Rationale Required",IF(C28-C25&lt;=-2%,"Failed - Rationale Rquired","Pass"))</f>
        <v>#VALUE!</v>
      </c>
      <c r="D39" s="1117"/>
      <c r="E39" s="1118"/>
      <c r="F39" s="684"/>
      <c r="G39" s="1119" t="e">
        <f>IF(G28-G25&gt;=2%,"Refer",IF(G28-G25&lt;=-2%,"Refer","Pass"))</f>
        <v>#VALUE!</v>
      </c>
      <c r="H39" s="1120"/>
      <c r="I39" s="1121"/>
      <c r="J39" s="1119" t="e">
        <f>IF(J28-J25&gt;=2%,"Refer",IF(J28-J25&lt;=-2%,"Refer","Pass"))</f>
        <v>#VALUE!</v>
      </c>
      <c r="K39" s="1120"/>
      <c r="L39" s="1121"/>
      <c r="M39" s="1119" t="e">
        <f>IF(M28-M25&gt;=2%,"Refer",IF(M28-M25&lt;=-2%,"Refer","Pass"))</f>
        <v>#VALUE!</v>
      </c>
      <c r="N39" s="1120"/>
      <c r="O39" s="1121"/>
      <c r="P39" s="1119" t="e">
        <f>IF(P28-P25&gt;=2%,"Refer",IF(P28-P25&lt;=-2%,"Refer","Pass"))</f>
        <v>#VALUE!</v>
      </c>
      <c r="Q39" s="1120"/>
      <c r="R39" s="1121"/>
      <c r="S39" s="625"/>
      <c r="U39" s="621"/>
      <c r="V39" s="621"/>
      <c r="W39" s="621"/>
      <c r="X39" s="621"/>
      <c r="Y39" s="621"/>
    </row>
    <row r="40" spans="2:32" ht="21.75" customHeight="1" x14ac:dyDescent="0.35">
      <c r="B40" s="721" t="s">
        <v>490</v>
      </c>
      <c r="C40" s="1116" t="e">
        <f>IF(C15&lt;C29*85%,"Failed - Rationale Required",IF(C15&gt;C29*115%,"Failed - Rationale Required","Pass"))</f>
        <v>#VALUE!</v>
      </c>
      <c r="D40" s="1117"/>
      <c r="E40" s="1118"/>
      <c r="F40" s="679"/>
      <c r="G40" s="1119" t="e">
        <f>IF(G15&lt;G29*80%,"Refer",IF(G15&gt;G29*120%,"Refer","Pass"))</f>
        <v>#VALUE!</v>
      </c>
      <c r="H40" s="1120"/>
      <c r="I40" s="1121"/>
      <c r="J40" s="1119" t="e">
        <f>IF(J15&lt;J29*80%,"Refer",IF(J15&gt;J29*120%,"Refer","Pass"))</f>
        <v>#VALUE!</v>
      </c>
      <c r="K40" s="1120"/>
      <c r="L40" s="1121"/>
      <c r="M40" s="1119" t="e">
        <f>IF(M15&lt;M29*80%,"Refer",IF(M15&gt;M29*120%,"Refer","Pass"))</f>
        <v>#VALUE!</v>
      </c>
      <c r="N40" s="1120"/>
      <c r="O40" s="1121"/>
      <c r="P40" s="1119" t="e">
        <f>IF(P15&lt;P29*80%,"Refer",IF(P15&gt;P29*120%,"Refer","Pass"))</f>
        <v>#VALUE!</v>
      </c>
      <c r="Q40" s="1120"/>
      <c r="R40" s="1121"/>
      <c r="S40" s="625"/>
      <c r="U40" s="621"/>
      <c r="V40" s="621"/>
      <c r="W40" s="621"/>
      <c r="X40" s="621"/>
      <c r="Y40" s="621"/>
    </row>
    <row r="41" spans="2:32" ht="23.25" customHeight="1" x14ac:dyDescent="0.35">
      <c r="B41" s="718" t="s">
        <v>393</v>
      </c>
      <c r="C41" s="1097" t="str">
        <f>IF(K4="Yes",IF(C24&gt;175%,"Exceeds Max LTV",IF(C24&gt;150%,"Refer Senior Manager","Pass")),IF(C24&gt;E12,"Exceeds Max LTV","Pass"))</f>
        <v>Pass</v>
      </c>
      <c r="D41" s="1098"/>
      <c r="E41" s="1099"/>
      <c r="F41" s="690"/>
      <c r="G41" s="690"/>
      <c r="H41" s="690"/>
      <c r="I41" s="690"/>
      <c r="J41" s="690"/>
      <c r="K41" s="690"/>
      <c r="L41" s="690"/>
      <c r="M41" s="690"/>
      <c r="N41" s="690"/>
      <c r="O41" s="690"/>
      <c r="P41" s="690"/>
      <c r="Q41" s="690"/>
      <c r="R41" s="690"/>
      <c r="S41" s="625"/>
      <c r="U41" s="621"/>
      <c r="V41" s="621"/>
      <c r="W41" s="621"/>
      <c r="X41" s="621"/>
      <c r="Y41" s="621"/>
    </row>
    <row r="42" spans="2:32" ht="15.5" x14ac:dyDescent="0.35">
      <c r="B42" s="690"/>
      <c r="C42" s="687"/>
      <c r="D42" s="688"/>
      <c r="E42" s="690"/>
      <c r="F42" s="690"/>
      <c r="G42" s="1100" t="s">
        <v>394</v>
      </c>
      <c r="H42" s="1100"/>
      <c r="I42" s="1100"/>
      <c r="J42" s="1100"/>
      <c r="K42" s="1100"/>
      <c r="L42" s="1100"/>
      <c r="M42" s="1100"/>
      <c r="N42" s="1100"/>
      <c r="O42" s="1100"/>
      <c r="P42" s="1100"/>
      <c r="Q42" s="1100"/>
      <c r="R42" s="1100"/>
      <c r="S42" s="625"/>
      <c r="U42" s="621"/>
      <c r="V42" s="621"/>
      <c r="W42" s="621"/>
      <c r="X42" s="621"/>
      <c r="Y42" s="621"/>
    </row>
    <row r="43" spans="2:32" ht="26.25" customHeight="1" x14ac:dyDescent="0.35">
      <c r="B43" s="720" t="s">
        <v>395</v>
      </c>
      <c r="C43" s="1101">
        <f>SUM(C36+G36+J36+M36+P36)</f>
        <v>0</v>
      </c>
      <c r="D43" s="1102"/>
      <c r="E43" s="1103"/>
      <c r="F43" s="690"/>
      <c r="G43" s="1104"/>
      <c r="H43" s="1105"/>
      <c r="I43" s="1105"/>
      <c r="J43" s="1105"/>
      <c r="K43" s="1105"/>
      <c r="L43" s="1105"/>
      <c r="M43" s="1105"/>
      <c r="N43" s="1105"/>
      <c r="O43" s="1105"/>
      <c r="P43" s="1105"/>
      <c r="Q43" s="1105"/>
      <c r="R43" s="1106"/>
      <c r="S43" s="625"/>
      <c r="U43" s="621"/>
      <c r="V43" s="621"/>
      <c r="W43" s="621"/>
      <c r="X43" s="621"/>
      <c r="Y43" s="621"/>
    </row>
    <row r="44" spans="2:32" ht="15.5" x14ac:dyDescent="0.35">
      <c r="B44" s="690"/>
      <c r="C44" s="687"/>
      <c r="D44" s="688"/>
      <c r="E44" s="690"/>
      <c r="F44" s="690"/>
      <c r="G44" s="1107"/>
      <c r="H44" s="1108"/>
      <c r="I44" s="1108"/>
      <c r="J44" s="1108"/>
      <c r="K44" s="1108"/>
      <c r="L44" s="1108"/>
      <c r="M44" s="1108"/>
      <c r="N44" s="1108"/>
      <c r="O44" s="1108"/>
      <c r="P44" s="1108"/>
      <c r="Q44" s="1108"/>
      <c r="R44" s="1109"/>
      <c r="S44" s="625"/>
      <c r="U44" s="621"/>
      <c r="V44" s="621"/>
      <c r="W44" s="621"/>
      <c r="X44" s="621"/>
      <c r="Y44" s="621"/>
    </row>
    <row r="45" spans="2:32" ht="26.25" customHeight="1" x14ac:dyDescent="0.35">
      <c r="B45" s="722" t="s">
        <v>396</v>
      </c>
      <c r="C45" s="1113">
        <f>SUM(C23+G23+J23+M23+P23)</f>
        <v>0</v>
      </c>
      <c r="D45" s="1114"/>
      <c r="E45" s="1115"/>
      <c r="F45" s="690"/>
      <c r="G45" s="1110"/>
      <c r="H45" s="1111"/>
      <c r="I45" s="1111"/>
      <c r="J45" s="1111"/>
      <c r="K45" s="1111"/>
      <c r="L45" s="1111"/>
      <c r="M45" s="1111"/>
      <c r="N45" s="1111"/>
      <c r="O45" s="1111"/>
      <c r="P45" s="1111"/>
      <c r="Q45" s="1111"/>
      <c r="R45" s="1112"/>
      <c r="S45" s="625"/>
      <c r="U45" s="621"/>
      <c r="V45" s="621"/>
      <c r="W45" s="621"/>
      <c r="X45" s="621"/>
      <c r="Y45" s="621"/>
    </row>
    <row r="46" spans="2:32" ht="15" thickBot="1" x14ac:dyDescent="0.4">
      <c r="B46" s="638"/>
      <c r="C46" s="639"/>
      <c r="D46" s="640"/>
      <c r="E46" s="638"/>
      <c r="F46" s="638"/>
      <c r="G46" s="638"/>
      <c r="H46" s="638"/>
      <c r="I46" s="638"/>
      <c r="J46" s="638"/>
      <c r="K46" s="638"/>
      <c r="L46" s="638"/>
      <c r="M46" s="638"/>
      <c r="N46" s="638"/>
      <c r="O46" s="638"/>
      <c r="P46" s="638"/>
      <c r="Q46" s="638"/>
      <c r="R46" s="638"/>
      <c r="S46" s="641"/>
      <c r="U46" s="621"/>
      <c r="V46" s="621"/>
      <c r="W46" s="621"/>
      <c r="X46" s="621"/>
      <c r="Y46" s="621"/>
    </row>
  </sheetData>
  <sheetProtection password="944E" sheet="1" objects="1" scenarios="1"/>
  <mergeCells count="60">
    <mergeCell ref="C8:E8"/>
    <mergeCell ref="C9:E9"/>
    <mergeCell ref="C10:E10"/>
    <mergeCell ref="G8:I8"/>
    <mergeCell ref="D16:E16"/>
    <mergeCell ref="G1:L1"/>
    <mergeCell ref="D3:G3"/>
    <mergeCell ref="K3:M3"/>
    <mergeCell ref="P3:R3"/>
    <mergeCell ref="E4:G4"/>
    <mergeCell ref="H4:I4"/>
    <mergeCell ref="K4:M4"/>
    <mergeCell ref="P4:R4"/>
    <mergeCell ref="P38:R38"/>
    <mergeCell ref="C6:E6"/>
    <mergeCell ref="G6:I6"/>
    <mergeCell ref="J6:L6"/>
    <mergeCell ref="M6:O6"/>
    <mergeCell ref="P6:R6"/>
    <mergeCell ref="D20:E20"/>
    <mergeCell ref="H20:I20"/>
    <mergeCell ref="K20:L20"/>
    <mergeCell ref="N20:O20"/>
    <mergeCell ref="Q20:R20"/>
    <mergeCell ref="D36:E36"/>
    <mergeCell ref="C38:E38"/>
    <mergeCell ref="G38:I38"/>
    <mergeCell ref="J38:L38"/>
    <mergeCell ref="M38:O38"/>
    <mergeCell ref="C40:E40"/>
    <mergeCell ref="G40:I40"/>
    <mergeCell ref="J40:L40"/>
    <mergeCell ref="M40:O40"/>
    <mergeCell ref="P40:R40"/>
    <mergeCell ref="C39:E39"/>
    <mergeCell ref="G39:I39"/>
    <mergeCell ref="J39:L39"/>
    <mergeCell ref="M39:O39"/>
    <mergeCell ref="P39:R39"/>
    <mergeCell ref="C41:E41"/>
    <mergeCell ref="G42:R42"/>
    <mergeCell ref="C43:E43"/>
    <mergeCell ref="G43:R45"/>
    <mergeCell ref="C45:E45"/>
    <mergeCell ref="D24:E24"/>
    <mergeCell ref="G9:I9"/>
    <mergeCell ref="G10:I10"/>
    <mergeCell ref="P8:R8"/>
    <mergeCell ref="P9:R9"/>
    <mergeCell ref="P10:R10"/>
    <mergeCell ref="J8:L8"/>
    <mergeCell ref="J9:L9"/>
    <mergeCell ref="J10:L10"/>
    <mergeCell ref="M8:O8"/>
    <mergeCell ref="M9:O9"/>
    <mergeCell ref="M10:O10"/>
    <mergeCell ref="H18:I18"/>
    <mergeCell ref="K18:L18"/>
    <mergeCell ref="N18:O18"/>
    <mergeCell ref="Q18:R18"/>
  </mergeCells>
  <conditionalFormatting sqref="B20">
    <cfRule type="expression" dxfId="46" priority="84">
      <formula>$C$18&lt;&gt;"Manual Input"</formula>
    </cfRule>
  </conditionalFormatting>
  <conditionalFormatting sqref="D18:D19">
    <cfRule type="expression" dxfId="45" priority="37">
      <formula>$C$18="Manual Input"</formula>
    </cfRule>
    <cfRule type="expression" dxfId="44" priority="83">
      <formula>$C$18="Manual Input"</formula>
    </cfRule>
  </conditionalFormatting>
  <conditionalFormatting sqref="C20">
    <cfRule type="expression" dxfId="43" priority="42">
      <formula>$C$18&lt;&gt;"Manual Input"</formula>
    </cfRule>
    <cfRule type="expression" dxfId="42" priority="79">
      <formula>$C$18&lt;&gt;"Manual Input"</formula>
    </cfRule>
  </conditionalFormatting>
  <conditionalFormatting sqref="C20:D20 F20 F38:F40 C38:C40 C11:F11 C37:F37 C36:D36 F36 C13:F15 C12 E12:F12 C17:F19 C16:D16 F16 C25:F35 C24:D24 F24 C21:F23">
    <cfRule type="expression" dxfId="41" priority="77">
      <formula>$C$7=""</formula>
    </cfRule>
  </conditionalFormatting>
  <conditionalFormatting sqref="C38:E38">
    <cfRule type="expression" dxfId="40" priority="75">
      <formula>$C$38="Pass"</formula>
    </cfRule>
    <cfRule type="expression" dxfId="39" priority="76">
      <formula>$C$38="Failed"</formula>
    </cfRule>
  </conditionalFormatting>
  <conditionalFormatting sqref="C39:E39">
    <cfRule type="expression" dxfId="38" priority="72">
      <formula>$C$39="Pass"</formula>
    </cfRule>
    <cfRule type="expression" dxfId="37" priority="74">
      <formula>$C$39="Failed - Rationale Required"</formula>
    </cfRule>
  </conditionalFormatting>
  <conditionalFormatting sqref="C40:E40">
    <cfRule type="expression" dxfId="36" priority="71">
      <formula>$C$40="Failed - Rationale Required"</formula>
    </cfRule>
    <cfRule type="expression" dxfId="35" priority="73">
      <formula>$C$40="Pass"</formula>
    </cfRule>
  </conditionalFormatting>
  <conditionalFormatting sqref="M21:O30 M33:O40 N31:O32">
    <cfRule type="expression" dxfId="34" priority="70">
      <formula>$M$7=""</formula>
    </cfRule>
  </conditionalFormatting>
  <conditionalFormatting sqref="P21:R30 P33:R40 Q31:R32">
    <cfRule type="expression" dxfId="33" priority="69">
      <formula>$P$7=""</formula>
    </cfRule>
  </conditionalFormatting>
  <conditionalFormatting sqref="C41:E41">
    <cfRule type="expression" dxfId="32" priority="65">
      <formula>$C$41="Pass"</formula>
    </cfRule>
    <cfRule type="expression" dxfId="31" priority="66">
      <formula>$C$41="Exceeds Max LTV"</formula>
    </cfRule>
  </conditionalFormatting>
  <conditionalFormatting sqref="G21:I40">
    <cfRule type="expression" dxfId="30" priority="64">
      <formula>$G$7=""</formula>
    </cfRule>
  </conditionalFormatting>
  <conditionalFormatting sqref="J21:L30 J33:L40 K31:L32">
    <cfRule type="expression" dxfId="29" priority="63">
      <formula>$J$7=""</formula>
    </cfRule>
  </conditionalFormatting>
  <conditionalFormatting sqref="D12">
    <cfRule type="expression" dxfId="28" priority="47">
      <formula>$C$7=""</formula>
    </cfRule>
  </conditionalFormatting>
  <conditionalFormatting sqref="G11:I17 G20:I20 G18:H18 G19">
    <cfRule type="expression" dxfId="27" priority="46">
      <formula>$G$7=""</formula>
    </cfRule>
  </conditionalFormatting>
  <conditionalFormatting sqref="J11:L12 J20:L20 J19 K13:L17">
    <cfRule type="expression" dxfId="26" priority="45">
      <formula>$J$7=""</formula>
    </cfRule>
  </conditionalFormatting>
  <conditionalFormatting sqref="M11:O13 M20:O20 M18:N18 N14:O17 M19">
    <cfRule type="expression" dxfId="25" priority="44">
      <formula>$M$7=""</formula>
    </cfRule>
  </conditionalFormatting>
  <conditionalFormatting sqref="P11:R12 P20:R20 P18:Q18 Q13:R17 P19">
    <cfRule type="expression" dxfId="24" priority="43">
      <formula>$P$7=""</formula>
    </cfRule>
  </conditionalFormatting>
  <conditionalFormatting sqref="G20">
    <cfRule type="expression" dxfId="23" priority="41">
      <formula>$G$18&lt;&gt;"Manual Input"</formula>
    </cfRule>
  </conditionalFormatting>
  <conditionalFormatting sqref="J20">
    <cfRule type="expression" dxfId="22" priority="40">
      <formula>$J$18&lt;&gt;"Manual Input"</formula>
    </cfRule>
  </conditionalFormatting>
  <conditionalFormatting sqref="M20">
    <cfRule type="expression" dxfId="21" priority="39">
      <formula>$M$18&lt;&gt;"Manual Input"</formula>
    </cfRule>
  </conditionalFormatting>
  <conditionalFormatting sqref="P20">
    <cfRule type="expression" dxfId="20" priority="38">
      <formula>$P$18&lt;&gt;"Manual Input"</formula>
    </cfRule>
  </conditionalFormatting>
  <conditionalFormatting sqref="H18">
    <cfRule type="expression" dxfId="19" priority="36">
      <formula>$G$18="Manual Input"</formula>
    </cfRule>
  </conditionalFormatting>
  <conditionalFormatting sqref="N18">
    <cfRule type="expression" dxfId="18" priority="34">
      <formula>$M$18="Manual Input"</formula>
    </cfRule>
  </conditionalFormatting>
  <conditionalFormatting sqref="Q18">
    <cfRule type="expression" dxfId="17" priority="33">
      <formula>$P$18="Manual Input"</formula>
    </cfRule>
  </conditionalFormatting>
  <conditionalFormatting sqref="C8:E10">
    <cfRule type="expression" dxfId="16" priority="32">
      <formula>$C$7=""</formula>
    </cfRule>
  </conditionalFormatting>
  <conditionalFormatting sqref="G8:I10">
    <cfRule type="expression" dxfId="15" priority="31">
      <formula>$G$7=""</formula>
    </cfRule>
  </conditionalFormatting>
  <conditionalFormatting sqref="J8:L10">
    <cfRule type="expression" dxfId="14" priority="30">
      <formula>$J$7=""</formula>
    </cfRule>
  </conditionalFormatting>
  <conditionalFormatting sqref="M8:O10">
    <cfRule type="expression" dxfId="13" priority="29">
      <formula>$M$7=""</formula>
    </cfRule>
  </conditionalFormatting>
  <conditionalFormatting sqref="P8:R10">
    <cfRule type="expression" dxfId="12" priority="28">
      <formula>$P$7=""</formula>
    </cfRule>
  </conditionalFormatting>
  <conditionalFormatting sqref="J31:J32">
    <cfRule type="expression" dxfId="11" priority="19">
      <formula>$J$7=""</formula>
    </cfRule>
  </conditionalFormatting>
  <conditionalFormatting sqref="M31:M32">
    <cfRule type="expression" dxfId="10" priority="18">
      <formula>$J$7=""</formula>
    </cfRule>
  </conditionalFormatting>
  <conditionalFormatting sqref="P31:P32">
    <cfRule type="expression" dxfId="9" priority="17">
      <formula>$J$7=""</formula>
    </cfRule>
  </conditionalFormatting>
  <conditionalFormatting sqref="P13">
    <cfRule type="expression" dxfId="8" priority="16">
      <formula>$M$7=""</formula>
    </cfRule>
  </conditionalFormatting>
  <conditionalFormatting sqref="J13">
    <cfRule type="expression" dxfId="7" priority="15">
      <formula>$J$7=""</formula>
    </cfRule>
  </conditionalFormatting>
  <conditionalFormatting sqref="J18:K18">
    <cfRule type="expression" dxfId="6" priority="14">
      <formula>$J$7=""</formula>
    </cfRule>
  </conditionalFormatting>
  <conditionalFormatting sqref="K18">
    <cfRule type="expression" dxfId="5" priority="13">
      <formula>$G$18="Manual Input"</formula>
    </cfRule>
  </conditionalFormatting>
  <conditionalFormatting sqref="J14:J17">
    <cfRule type="expression" dxfId="4" priority="3">
      <formula>$G$7=""</formula>
    </cfRule>
  </conditionalFormatting>
  <conditionalFormatting sqref="M14:M17">
    <cfRule type="expression" dxfId="3" priority="2">
      <formula>$G$7=""</formula>
    </cfRule>
  </conditionalFormatting>
  <conditionalFormatting sqref="P14:P17">
    <cfRule type="expression" dxfId="2" priority="1">
      <formula>$G$7=""</formula>
    </cfRule>
  </conditionalFormatting>
  <dataValidations count="8">
    <dataValidation type="whole" errorStyle="information" operator="greaterThan" allowBlank="1" showInputMessage="1" showErrorMessage="1" error="Minimum BTL amount €40,000" sqref="C16" xr:uid="{00000000-0002-0000-0600-000000000000}">
      <formula1>39999</formula1>
    </dataValidation>
    <dataValidation allowBlank="1" showInputMessage="1" showErrorMessage="1" prompt="NB - Minimum 3% if PDH to BTL Conversion " sqref="Q20:R20 N20:O20 H20:I20 K20:L20" xr:uid="{00000000-0002-0000-0600-000001000000}"/>
    <dataValidation type="whole" allowBlank="1" showInputMessage="1" showErrorMessage="1" prompt="Max Term 25 years or Age 70" sqref="C17" xr:uid="{00000000-0002-0000-0600-000002000000}">
      <formula1>5</formula1>
      <formula2>25</formula2>
    </dataValidation>
    <dataValidation operator="greaterThanOrEqual" allowBlank="1" showInputMessage="1" showErrorMessage="1" sqref="C20 M20 G20 J20 P20" xr:uid="{00000000-0002-0000-0600-000003000000}"/>
    <dataValidation type="whole" allowBlank="1" showInputMessage="1" showErrorMessage="1" sqref="G17 M17 J17 P17" xr:uid="{00000000-0002-0000-0600-000004000000}">
      <formula1>0</formula1>
      <formula2>25</formula2>
    </dataValidation>
    <dataValidation errorStyle="information" allowBlank="1" showInputMessage="1" showErrorMessage="1" error="Minimum BTL amount €40,000" sqref="G16 J16 M16 P16" xr:uid="{00000000-0002-0000-0600-000005000000}"/>
    <dataValidation allowBlank="1" showErrorMessage="1" sqref="C8:E10 G8:R10" xr:uid="{00000000-0002-0000-0600-000006000000}"/>
    <dataValidation allowBlank="1" showInputMessage="1" showErrorMessage="1" prompt="If PDH to BTL Conversion - add 1% to prevailing rate." sqref="N18:O18 H18:I18 K18:L18 Q18:R18" xr:uid="{00000000-0002-0000-0600-000007000000}"/>
  </dataValidations>
  <pageMargins left="0.19685039370078741" right="0" top="0" bottom="0.74803149606299213" header="0" footer="0.31496062992125984"/>
  <pageSetup paperSize="9" scale="66" orientation="landscape" r:id="rId1"/>
  <ignoredErrors>
    <ignoredError sqref="G39:G40 J39:R40 C43" evalError="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A000000}">
          <x14:formula1>
            <xm:f>Validation!$G$1:$G$2</xm:f>
          </x14:formula1>
          <xm:sqref>K4:M4</xm:sqref>
        </x14:dataValidation>
        <x14:dataValidation type="list" allowBlank="1" showInputMessage="1" showErrorMessage="1" xr:uid="{00000000-0002-0000-0600-00000B000000}">
          <x14:formula1>
            <xm:f>Validation!$F$2:$F$3</xm:f>
          </x14:formula1>
          <xm:sqref>P4:R4</xm:sqref>
        </x14:dataValidation>
        <x14:dataValidation type="list" allowBlank="1" showInputMessage="1" showErrorMessage="1" xr:uid="{00000000-0002-0000-0600-00000C000000}">
          <x14:formula1>
            <xm:f>'Daft Rents'!$P$6:$P$59</xm:f>
          </x14:formula1>
          <xm:sqref>M7 C7 G7 J7 P7</xm:sqref>
        </x14:dataValidation>
        <x14:dataValidation type="list" allowBlank="1" showInputMessage="1" showErrorMessage="1" xr:uid="{00000000-0002-0000-0600-00000D000000}">
          <x14:formula1>
            <xm:f>'Daft Rents'!$C$4:$G$4</xm:f>
          </x14:formula1>
          <xm:sqref>C11 G11 J11 M11 P11</xm:sqref>
        </x14:dataValidation>
        <x14:dataValidation type="list" allowBlank="1" showInputMessage="1" showErrorMessage="1" xr:uid="{00000000-0002-0000-0600-00000E000000}">
          <x14:formula1>
            <xm:f>Validation!$D$2:$D$4</xm:f>
          </x14:formula1>
          <xm:sqref>C12 G12 J12 M12 P12</xm:sqref>
        </x14:dataValidation>
        <x14:dataValidation type="list" allowBlank="1" showInputMessage="1" showErrorMessage="1" xr:uid="{00000000-0002-0000-0600-00000F000000}">
          <x14:formula1>
            <xm:f>Validation!$E$6:$E$8</xm:f>
          </x14:formula1>
          <xm:sqref>C18</xm:sqref>
        </x14:dataValidation>
        <x14:dataValidation type="list" allowBlank="1" showInputMessage="1" showErrorMessage="1" xr:uid="{00000000-0002-0000-0600-000010000000}">
          <x14:formula1>
            <xm:f>Validation!$J$2:$J$3</xm:f>
          </x14:formula1>
          <xm:sqref>G19 J19 M19 P19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R130"/>
  <sheetViews>
    <sheetView zoomScaleNormal="100" workbookViewId="0">
      <selection activeCell="AV27" sqref="AV27"/>
    </sheetView>
  </sheetViews>
  <sheetFormatPr defaultColWidth="0" defaultRowHeight="12.5" x14ac:dyDescent="0.25"/>
  <cols>
    <col min="1" max="1" width="98.7265625" style="49" customWidth="1"/>
    <col min="2" max="7" width="14.54296875" style="7" hidden="1" customWidth="1"/>
    <col min="8" max="8" width="37.54296875" style="7" hidden="1" customWidth="1"/>
    <col min="9" max="44" width="9.1796875" style="7" hidden="1" customWidth="1"/>
    <col min="45" max="256" width="9.1796875" style="7" customWidth="1"/>
    <col min="257" max="257" width="98.7265625" style="7" customWidth="1"/>
    <col min="258" max="270" width="0" style="7" hidden="1" customWidth="1"/>
    <col min="271" max="512" width="0" style="7" hidden="1"/>
    <col min="513" max="513" width="98.7265625" style="7" customWidth="1"/>
    <col min="514" max="526" width="0" style="7" hidden="1" customWidth="1"/>
    <col min="527" max="768" width="0" style="7" hidden="1"/>
    <col min="769" max="769" width="98.7265625" style="7" customWidth="1"/>
    <col min="770" max="782" width="0" style="7" hidden="1" customWidth="1"/>
    <col min="783" max="1024" width="0" style="7" hidden="1"/>
    <col min="1025" max="1025" width="98.7265625" style="7" customWidth="1"/>
    <col min="1026" max="1038" width="0" style="7" hidden="1" customWidth="1"/>
    <col min="1039" max="1280" width="0" style="7" hidden="1"/>
    <col min="1281" max="1281" width="98.7265625" style="7" customWidth="1"/>
    <col min="1282" max="1294" width="0" style="7" hidden="1" customWidth="1"/>
    <col min="1295" max="1536" width="0" style="7" hidden="1"/>
    <col min="1537" max="1537" width="98.7265625" style="7" customWidth="1"/>
    <col min="1538" max="1550" width="0" style="7" hidden="1" customWidth="1"/>
    <col min="1551" max="1792" width="0" style="7" hidden="1"/>
    <col min="1793" max="1793" width="98.7265625" style="7" customWidth="1"/>
    <col min="1794" max="1806" width="0" style="7" hidden="1" customWidth="1"/>
    <col min="1807" max="2048" width="0" style="7" hidden="1"/>
    <col min="2049" max="2049" width="98.7265625" style="7" customWidth="1"/>
    <col min="2050" max="2062" width="0" style="7" hidden="1" customWidth="1"/>
    <col min="2063" max="2304" width="0" style="7" hidden="1"/>
    <col min="2305" max="2305" width="98.7265625" style="7" customWidth="1"/>
    <col min="2306" max="2318" width="0" style="7" hidden="1" customWidth="1"/>
    <col min="2319" max="2560" width="0" style="7" hidden="1"/>
    <col min="2561" max="2561" width="98.7265625" style="7" customWidth="1"/>
    <col min="2562" max="2574" width="0" style="7" hidden="1" customWidth="1"/>
    <col min="2575" max="2816" width="0" style="7" hidden="1"/>
    <col min="2817" max="2817" width="98.7265625" style="7" customWidth="1"/>
    <col min="2818" max="2830" width="0" style="7" hidden="1" customWidth="1"/>
    <col min="2831" max="3072" width="0" style="7" hidden="1"/>
    <col min="3073" max="3073" width="98.7265625" style="7" customWidth="1"/>
    <col min="3074" max="3086" width="0" style="7" hidden="1" customWidth="1"/>
    <col min="3087" max="3328" width="0" style="7" hidden="1"/>
    <col min="3329" max="3329" width="98.7265625" style="7" customWidth="1"/>
    <col min="3330" max="3342" width="0" style="7" hidden="1" customWidth="1"/>
    <col min="3343" max="3584" width="0" style="7" hidden="1"/>
    <col min="3585" max="3585" width="98.7265625" style="7" customWidth="1"/>
    <col min="3586" max="3598" width="0" style="7" hidden="1" customWidth="1"/>
    <col min="3599" max="3840" width="0" style="7" hidden="1"/>
    <col min="3841" max="3841" width="98.7265625" style="7" customWidth="1"/>
    <col min="3842" max="3854" width="0" style="7" hidden="1" customWidth="1"/>
    <col min="3855" max="4096" width="0" style="7" hidden="1"/>
    <col min="4097" max="4097" width="98.7265625" style="7" customWidth="1"/>
    <col min="4098" max="4110" width="0" style="7" hidden="1" customWidth="1"/>
    <col min="4111" max="4352" width="0" style="7" hidden="1"/>
    <col min="4353" max="4353" width="98.7265625" style="7" customWidth="1"/>
    <col min="4354" max="4366" width="0" style="7" hidden="1" customWidth="1"/>
    <col min="4367" max="4608" width="0" style="7" hidden="1"/>
    <col min="4609" max="4609" width="98.7265625" style="7" customWidth="1"/>
    <col min="4610" max="4622" width="0" style="7" hidden="1" customWidth="1"/>
    <col min="4623" max="4864" width="0" style="7" hidden="1"/>
    <col min="4865" max="4865" width="98.7265625" style="7" customWidth="1"/>
    <col min="4866" max="4878" width="0" style="7" hidden="1" customWidth="1"/>
    <col min="4879" max="5120" width="0" style="7" hidden="1"/>
    <col min="5121" max="5121" width="98.7265625" style="7" customWidth="1"/>
    <col min="5122" max="5134" width="0" style="7" hidden="1" customWidth="1"/>
    <col min="5135" max="5376" width="0" style="7" hidden="1"/>
    <col min="5377" max="5377" width="98.7265625" style="7" customWidth="1"/>
    <col min="5378" max="5390" width="0" style="7" hidden="1" customWidth="1"/>
    <col min="5391" max="5632" width="0" style="7" hidden="1"/>
    <col min="5633" max="5633" width="98.7265625" style="7" customWidth="1"/>
    <col min="5634" max="5646" width="0" style="7" hidden="1" customWidth="1"/>
    <col min="5647" max="5888" width="0" style="7" hidden="1"/>
    <col min="5889" max="5889" width="98.7265625" style="7" customWidth="1"/>
    <col min="5890" max="5902" width="0" style="7" hidden="1" customWidth="1"/>
    <col min="5903" max="6144" width="0" style="7" hidden="1"/>
    <col min="6145" max="6145" width="98.7265625" style="7" customWidth="1"/>
    <col min="6146" max="6158" width="0" style="7" hidden="1" customWidth="1"/>
    <col min="6159" max="6400" width="0" style="7" hidden="1"/>
    <col min="6401" max="6401" width="98.7265625" style="7" customWidth="1"/>
    <col min="6402" max="6414" width="0" style="7" hidden="1" customWidth="1"/>
    <col min="6415" max="6656" width="0" style="7" hidden="1"/>
    <col min="6657" max="6657" width="98.7265625" style="7" customWidth="1"/>
    <col min="6658" max="6670" width="0" style="7" hidden="1" customWidth="1"/>
    <col min="6671" max="6912" width="0" style="7" hidden="1"/>
    <col min="6913" max="6913" width="98.7265625" style="7" customWidth="1"/>
    <col min="6914" max="6926" width="0" style="7" hidden="1" customWidth="1"/>
    <col min="6927" max="7168" width="0" style="7" hidden="1"/>
    <col min="7169" max="7169" width="98.7265625" style="7" customWidth="1"/>
    <col min="7170" max="7182" width="0" style="7" hidden="1" customWidth="1"/>
    <col min="7183" max="7424" width="0" style="7" hidden="1"/>
    <col min="7425" max="7425" width="98.7265625" style="7" customWidth="1"/>
    <col min="7426" max="7438" width="0" style="7" hidden="1" customWidth="1"/>
    <col min="7439" max="7680" width="0" style="7" hidden="1"/>
    <col min="7681" max="7681" width="98.7265625" style="7" customWidth="1"/>
    <col min="7682" max="7694" width="0" style="7" hidden="1" customWidth="1"/>
    <col min="7695" max="7936" width="0" style="7" hidden="1"/>
    <col min="7937" max="7937" width="98.7265625" style="7" customWidth="1"/>
    <col min="7938" max="7950" width="0" style="7" hidden="1" customWidth="1"/>
    <col min="7951" max="8192" width="0" style="7" hidden="1"/>
    <col min="8193" max="8193" width="98.7265625" style="7" customWidth="1"/>
    <col min="8194" max="8206" width="0" style="7" hidden="1" customWidth="1"/>
    <col min="8207" max="8448" width="0" style="7" hidden="1"/>
    <col min="8449" max="8449" width="98.7265625" style="7" customWidth="1"/>
    <col min="8450" max="8462" width="0" style="7" hidden="1" customWidth="1"/>
    <col min="8463" max="8704" width="0" style="7" hidden="1"/>
    <col min="8705" max="8705" width="98.7265625" style="7" customWidth="1"/>
    <col min="8706" max="8718" width="0" style="7" hidden="1" customWidth="1"/>
    <col min="8719" max="8960" width="0" style="7" hidden="1"/>
    <col min="8961" max="8961" width="98.7265625" style="7" customWidth="1"/>
    <col min="8962" max="8974" width="0" style="7" hidden="1" customWidth="1"/>
    <col min="8975" max="9216" width="0" style="7" hidden="1"/>
    <col min="9217" max="9217" width="98.7265625" style="7" customWidth="1"/>
    <col min="9218" max="9230" width="0" style="7" hidden="1" customWidth="1"/>
    <col min="9231" max="9472" width="0" style="7" hidden="1"/>
    <col min="9473" max="9473" width="98.7265625" style="7" customWidth="1"/>
    <col min="9474" max="9486" width="0" style="7" hidden="1" customWidth="1"/>
    <col min="9487" max="9728" width="0" style="7" hidden="1"/>
    <col min="9729" max="9729" width="98.7265625" style="7" customWidth="1"/>
    <col min="9730" max="9742" width="0" style="7" hidden="1" customWidth="1"/>
    <col min="9743" max="9984" width="0" style="7" hidden="1"/>
    <col min="9985" max="9985" width="98.7265625" style="7" customWidth="1"/>
    <col min="9986" max="9998" width="0" style="7" hidden="1" customWidth="1"/>
    <col min="9999" max="10240" width="0" style="7" hidden="1"/>
    <col min="10241" max="10241" width="98.7265625" style="7" customWidth="1"/>
    <col min="10242" max="10254" width="0" style="7" hidden="1" customWidth="1"/>
    <col min="10255" max="10496" width="0" style="7" hidden="1"/>
    <col min="10497" max="10497" width="98.7265625" style="7" customWidth="1"/>
    <col min="10498" max="10510" width="0" style="7" hidden="1" customWidth="1"/>
    <col min="10511" max="10752" width="0" style="7" hidden="1"/>
    <col min="10753" max="10753" width="98.7265625" style="7" customWidth="1"/>
    <col min="10754" max="10766" width="0" style="7" hidden="1" customWidth="1"/>
    <col min="10767" max="11008" width="0" style="7" hidden="1"/>
    <col min="11009" max="11009" width="98.7265625" style="7" customWidth="1"/>
    <col min="11010" max="11022" width="0" style="7" hidden="1" customWidth="1"/>
    <col min="11023" max="11264" width="0" style="7" hidden="1"/>
    <col min="11265" max="11265" width="98.7265625" style="7" customWidth="1"/>
    <col min="11266" max="11278" width="0" style="7" hidden="1" customWidth="1"/>
    <col min="11279" max="11520" width="0" style="7" hidden="1"/>
    <col min="11521" max="11521" width="98.7265625" style="7" customWidth="1"/>
    <col min="11522" max="11534" width="0" style="7" hidden="1" customWidth="1"/>
    <col min="11535" max="11776" width="0" style="7" hidden="1"/>
    <col min="11777" max="11777" width="98.7265625" style="7" customWidth="1"/>
    <col min="11778" max="11790" width="0" style="7" hidden="1" customWidth="1"/>
    <col min="11791" max="12032" width="0" style="7" hidden="1"/>
    <col min="12033" max="12033" width="98.7265625" style="7" customWidth="1"/>
    <col min="12034" max="12046" width="0" style="7" hidden="1" customWidth="1"/>
    <col min="12047" max="12288" width="0" style="7" hidden="1"/>
    <col min="12289" max="12289" width="98.7265625" style="7" customWidth="1"/>
    <col min="12290" max="12302" width="0" style="7" hidden="1" customWidth="1"/>
    <col min="12303" max="12544" width="0" style="7" hidden="1"/>
    <col min="12545" max="12545" width="98.7265625" style="7" customWidth="1"/>
    <col min="12546" max="12558" width="0" style="7" hidden="1" customWidth="1"/>
    <col min="12559" max="12800" width="0" style="7" hidden="1"/>
    <col min="12801" max="12801" width="98.7265625" style="7" customWidth="1"/>
    <col min="12802" max="12814" width="0" style="7" hidden="1" customWidth="1"/>
    <col min="12815" max="13056" width="0" style="7" hidden="1"/>
    <col min="13057" max="13057" width="98.7265625" style="7" customWidth="1"/>
    <col min="13058" max="13070" width="0" style="7" hidden="1" customWidth="1"/>
    <col min="13071" max="13312" width="0" style="7" hidden="1"/>
    <col min="13313" max="13313" width="98.7265625" style="7" customWidth="1"/>
    <col min="13314" max="13326" width="0" style="7" hidden="1" customWidth="1"/>
    <col min="13327" max="13568" width="0" style="7" hidden="1"/>
    <col min="13569" max="13569" width="98.7265625" style="7" customWidth="1"/>
    <col min="13570" max="13582" width="0" style="7" hidden="1" customWidth="1"/>
    <col min="13583" max="13824" width="0" style="7" hidden="1"/>
    <col min="13825" max="13825" width="98.7265625" style="7" customWidth="1"/>
    <col min="13826" max="13838" width="0" style="7" hidden="1" customWidth="1"/>
    <col min="13839" max="14080" width="0" style="7" hidden="1"/>
    <col min="14081" max="14081" width="98.7265625" style="7" customWidth="1"/>
    <col min="14082" max="14094" width="0" style="7" hidden="1" customWidth="1"/>
    <col min="14095" max="14336" width="0" style="7" hidden="1"/>
    <col min="14337" max="14337" width="98.7265625" style="7" customWidth="1"/>
    <col min="14338" max="14350" width="0" style="7" hidden="1" customWidth="1"/>
    <col min="14351" max="14592" width="0" style="7" hidden="1"/>
    <col min="14593" max="14593" width="98.7265625" style="7" customWidth="1"/>
    <col min="14594" max="14606" width="0" style="7" hidden="1" customWidth="1"/>
    <col min="14607" max="14848" width="0" style="7" hidden="1"/>
    <col min="14849" max="14849" width="98.7265625" style="7" customWidth="1"/>
    <col min="14850" max="14862" width="0" style="7" hidden="1" customWidth="1"/>
    <col min="14863" max="15104" width="0" style="7" hidden="1"/>
    <col min="15105" max="15105" width="98.7265625" style="7" customWidth="1"/>
    <col min="15106" max="15118" width="0" style="7" hidden="1" customWidth="1"/>
    <col min="15119" max="15360" width="0" style="7" hidden="1"/>
    <col min="15361" max="15361" width="98.7265625" style="7" customWidth="1"/>
    <col min="15362" max="15374" width="0" style="7" hidden="1" customWidth="1"/>
    <col min="15375" max="15616" width="0" style="7" hidden="1"/>
    <col min="15617" max="15617" width="98.7265625" style="7" customWidth="1"/>
    <col min="15618" max="15630" width="0" style="7" hidden="1" customWidth="1"/>
    <col min="15631" max="15872" width="0" style="7" hidden="1"/>
    <col min="15873" max="15873" width="98.7265625" style="7" customWidth="1"/>
    <col min="15874" max="15886" width="0" style="7" hidden="1" customWidth="1"/>
    <col min="15887" max="16128" width="0" style="7" hidden="1"/>
    <col min="16129" max="16129" width="98.7265625" style="7" customWidth="1"/>
    <col min="16130" max="16142" width="0" style="7" hidden="1" customWidth="1"/>
    <col min="16143" max="16384" width="0" style="7" hidden="1"/>
  </cols>
  <sheetData>
    <row r="1" spans="1:9" ht="12.75" customHeight="1" x14ac:dyDescent="0.3">
      <c r="A1" s="26"/>
      <c r="H1" s="50" t="s">
        <v>116</v>
      </c>
      <c r="I1" s="51" t="s">
        <v>27</v>
      </c>
    </row>
    <row r="2" spans="1:9" ht="36" x14ac:dyDescent="0.4">
      <c r="A2" s="65" t="s">
        <v>205</v>
      </c>
      <c r="H2" s="52" t="s">
        <v>109</v>
      </c>
      <c r="I2" s="53">
        <f>IF('Home Loan - MDIR'!I140="Yes",1,0)</f>
        <v>1</v>
      </c>
    </row>
    <row r="3" spans="1:9" ht="20" x14ac:dyDescent="0.4">
      <c r="A3" s="27" t="s">
        <v>154</v>
      </c>
      <c r="H3" s="52"/>
      <c r="I3" s="53"/>
    </row>
    <row r="4" spans="1:9" ht="20" x14ac:dyDescent="0.4">
      <c r="A4" s="59" t="s">
        <v>202</v>
      </c>
      <c r="H4" s="52"/>
      <c r="I4" s="53"/>
    </row>
    <row r="5" spans="1:9" ht="7.5" customHeight="1" x14ac:dyDescent="0.25">
      <c r="A5" s="28"/>
      <c r="H5" s="54" t="s">
        <v>117</v>
      </c>
      <c r="I5" s="52"/>
    </row>
    <row r="6" spans="1:9" ht="14.25" customHeight="1" x14ac:dyDescent="0.25">
      <c r="A6" s="28"/>
      <c r="H6" s="54" t="s">
        <v>118</v>
      </c>
      <c r="I6" s="52"/>
    </row>
    <row r="7" spans="1:9" x14ac:dyDescent="0.25">
      <c r="A7" s="557" t="str">
        <f>'Home Loan - MDIR'!B5&amp;" "&amp;'Home Loan - MDIR'!C5</f>
        <v xml:space="preserve"> </v>
      </c>
      <c r="H7" s="52" t="s">
        <v>113</v>
      </c>
      <c r="I7" s="53">
        <f>IF('Home Loan - MDIR'!I140="YES",1,0)</f>
        <v>1</v>
      </c>
    </row>
    <row r="8" spans="1:9" x14ac:dyDescent="0.25">
      <c r="A8" s="64" t="str">
        <f>'Home Loan - MDIR'!G5&amp;" "&amp;'Home Loan - MDIR'!H5</f>
        <v xml:space="preserve"> </v>
      </c>
      <c r="H8" s="55" t="s">
        <v>142</v>
      </c>
      <c r="I8" s="56">
        <f>IF(H12="Blank",0,1)</f>
        <v>1</v>
      </c>
    </row>
    <row r="9" spans="1:9" ht="15.75" customHeight="1" x14ac:dyDescent="0.25">
      <c r="A9" s="614"/>
      <c r="H9" s="52"/>
      <c r="I9" s="53"/>
    </row>
    <row r="10" spans="1:9" ht="15.75" customHeight="1" x14ac:dyDescent="0.3">
      <c r="A10" s="614"/>
      <c r="H10" s="50" t="s">
        <v>119</v>
      </c>
      <c r="I10" s="51">
        <f>SUM(I7:I8)</f>
        <v>2</v>
      </c>
    </row>
    <row r="11" spans="1:9" ht="13" thickBot="1" x14ac:dyDescent="0.3">
      <c r="A11" s="614"/>
      <c r="H11" s="52"/>
      <c r="I11" s="52"/>
    </row>
    <row r="12" spans="1:9" ht="13.5" thickBot="1" x14ac:dyDescent="0.35">
      <c r="A12" s="614"/>
      <c r="H12" s="57" t="b">
        <v>0</v>
      </c>
      <c r="I12" s="52"/>
    </row>
    <row r="13" spans="1:9" ht="13.5" customHeight="1" x14ac:dyDescent="0.25">
      <c r="A13" s="29"/>
      <c r="H13" s="52"/>
      <c r="I13" s="52"/>
    </row>
    <row r="14" spans="1:9" ht="16.5" customHeight="1" x14ac:dyDescent="0.25">
      <c r="A14" s="67">
        <f ca="1">IF(I10=2,TODAY(),0)</f>
        <v>43476</v>
      </c>
      <c r="H14" s="7">
        <v>0</v>
      </c>
    </row>
    <row r="15" spans="1:9" ht="4.5" customHeight="1" x14ac:dyDescent="0.25">
      <c r="A15" s="30"/>
    </row>
    <row r="16" spans="1:9" ht="4.5" customHeight="1" x14ac:dyDescent="0.25">
      <c r="A16" s="30"/>
    </row>
    <row r="17" spans="1:7" ht="12.75" hidden="1" customHeight="1" x14ac:dyDescent="0.25">
      <c r="A17" s="31"/>
    </row>
    <row r="18" spans="1:7" ht="15.5" x14ac:dyDescent="0.25">
      <c r="A18" s="32" t="str">
        <f>IF('Home Loan - MDIR'!H34="Yes","Your Self Build Mortgage Approval in Principle","Your Mortgage Approval in Principle")</f>
        <v>Your Mortgage Approval in Principle</v>
      </c>
    </row>
    <row r="19" spans="1:7" ht="5.25" customHeight="1" x14ac:dyDescent="0.25">
      <c r="A19" s="33"/>
      <c r="B19" s="34"/>
      <c r="C19" s="34"/>
      <c r="D19" s="34"/>
      <c r="E19" s="34"/>
      <c r="F19" s="34"/>
      <c r="G19" s="34"/>
    </row>
    <row r="20" spans="1:7" ht="12.75" customHeight="1" x14ac:dyDescent="0.25">
      <c r="A20" s="66" t="s">
        <v>206</v>
      </c>
      <c r="B20" s="34"/>
      <c r="C20" s="34"/>
      <c r="D20" s="34"/>
      <c r="E20" s="34"/>
      <c r="F20" s="34"/>
      <c r="G20" s="34"/>
    </row>
    <row r="21" spans="1:7" ht="6" customHeight="1" x14ac:dyDescent="0.25">
      <c r="A21" s="35"/>
    </row>
    <row r="22" spans="1:7" ht="12.75" customHeight="1" x14ac:dyDescent="0.25">
      <c r="A22" s="25" t="s">
        <v>207</v>
      </c>
    </row>
    <row r="23" spans="1:7" ht="12.75" customHeight="1" x14ac:dyDescent="0.25">
      <c r="A23" s="35" t="s">
        <v>234</v>
      </c>
    </row>
    <row r="24" spans="1:7" ht="6.75" customHeight="1" x14ac:dyDescent="0.25">
      <c r="A24" s="35"/>
    </row>
    <row r="25" spans="1:7" ht="16.5" customHeight="1" x14ac:dyDescent="0.25">
      <c r="A25" s="60" t="str">
        <f>IF(I$10=2,"Amount: "&amp;TEXT('Home Loan - MDIR'!R33,"€0,000"),"")</f>
        <v>Amount: €0,000</v>
      </c>
    </row>
    <row r="26" spans="1:7" ht="12.75" customHeight="1" x14ac:dyDescent="0.25">
      <c r="A26" s="60" t="str">
        <f>IF(I$10=2,"Term: "&amp;'Home Loan - MDIR'!E30&amp;" years",0)</f>
        <v>Term:  years</v>
      </c>
    </row>
    <row r="27" spans="1:7" ht="5.25" customHeight="1" x14ac:dyDescent="0.25">
      <c r="A27" s="30"/>
    </row>
    <row r="28" spans="1:7" ht="12.75" customHeight="1" x14ac:dyDescent="0.25">
      <c r="A28" s="35" t="str">
        <f>IF('Home Loan - MDIR'!H34="Yes","Getting a Self Build Mortgage Approval in Principle before you start looking for a house is always a good idea. It will give you a rough idea of","Getting a Mortgage Approval in Principle before you start looking for a house is always a good idea. It will give you a rough idea of")</f>
        <v>Getting a Mortgage Approval in Principle before you start looking for a house is always a good idea. It will give you a rough idea of</v>
      </c>
    </row>
    <row r="29" spans="1:7" ht="12.75" customHeight="1" x14ac:dyDescent="0.25">
      <c r="A29" s="35" t="s">
        <v>156</v>
      </c>
    </row>
    <row r="30" spans="1:7" ht="12" customHeight="1" x14ac:dyDescent="0.25">
      <c r="A30" s="35" t="s">
        <v>358</v>
      </c>
    </row>
    <row r="31" spans="1:7" ht="11.25" customHeight="1" x14ac:dyDescent="0.25">
      <c r="A31" s="35" t="s">
        <v>357</v>
      </c>
    </row>
    <row r="32" spans="1:7" ht="13.5" customHeight="1" x14ac:dyDescent="0.25">
      <c r="A32" s="36" t="s">
        <v>157</v>
      </c>
    </row>
    <row r="33" spans="1:1" ht="12.75" customHeight="1" x14ac:dyDescent="0.25">
      <c r="A33" s="35" t="s">
        <v>158</v>
      </c>
    </row>
    <row r="34" spans="1:1" ht="17.25" customHeight="1" x14ac:dyDescent="0.25">
      <c r="A34" s="35" t="s">
        <v>159</v>
      </c>
    </row>
    <row r="35" spans="1:1" ht="12.75" customHeight="1" x14ac:dyDescent="0.25">
      <c r="A35" s="35" t="s">
        <v>160</v>
      </c>
    </row>
    <row r="36" spans="1:1" ht="12.75" customHeight="1" x14ac:dyDescent="0.25">
      <c r="A36" s="35" t="s">
        <v>161</v>
      </c>
    </row>
    <row r="37" spans="1:1" ht="12.75" customHeight="1" x14ac:dyDescent="0.25">
      <c r="A37" s="35" t="s">
        <v>162</v>
      </c>
    </row>
    <row r="38" spans="1:1" ht="12.75" customHeight="1" x14ac:dyDescent="0.25">
      <c r="A38" s="35" t="s">
        <v>163</v>
      </c>
    </row>
    <row r="39" spans="1:1" ht="12.75" customHeight="1" x14ac:dyDescent="0.25">
      <c r="A39" s="35" t="s">
        <v>164</v>
      </c>
    </row>
    <row r="40" spans="1:1" ht="12.75" customHeight="1" x14ac:dyDescent="0.25">
      <c r="A40" s="35" t="s">
        <v>165</v>
      </c>
    </row>
    <row r="41" spans="1:1" ht="12.75" customHeight="1" x14ac:dyDescent="0.25">
      <c r="A41" s="35" t="s">
        <v>166</v>
      </c>
    </row>
    <row r="42" spans="1:1" ht="12.75" customHeight="1" x14ac:dyDescent="0.25">
      <c r="A42" s="35" t="s">
        <v>167</v>
      </c>
    </row>
    <row r="43" spans="1:1" ht="5.25" customHeight="1" x14ac:dyDescent="0.25">
      <c r="A43" s="63"/>
    </row>
    <row r="44" spans="1:1" ht="12.75" customHeight="1" x14ac:dyDescent="0.25">
      <c r="A44" s="36" t="s">
        <v>168</v>
      </c>
    </row>
    <row r="45" spans="1:1" ht="12.75" customHeight="1" x14ac:dyDescent="0.25">
      <c r="A45" s="35" t="s">
        <v>169</v>
      </c>
    </row>
    <row r="46" spans="1:1" x14ac:dyDescent="0.25">
      <c r="A46" s="35" t="s">
        <v>170</v>
      </c>
    </row>
    <row r="47" spans="1:1" x14ac:dyDescent="0.25">
      <c r="A47" s="35" t="s">
        <v>171</v>
      </c>
    </row>
    <row r="48" spans="1:1" x14ac:dyDescent="0.25">
      <c r="A48" s="35" t="s">
        <v>172</v>
      </c>
    </row>
    <row r="49" spans="1:1" x14ac:dyDescent="0.25">
      <c r="A49" s="35" t="s">
        <v>173</v>
      </c>
    </row>
    <row r="50" spans="1:1" x14ac:dyDescent="0.25">
      <c r="A50" s="35" t="s">
        <v>174</v>
      </c>
    </row>
    <row r="51" spans="1:1" x14ac:dyDescent="0.25">
      <c r="A51" s="35"/>
    </row>
    <row r="52" spans="1:1" ht="4.5" customHeight="1" x14ac:dyDescent="0.25">
      <c r="A52" s="35"/>
    </row>
    <row r="53" spans="1:1" x14ac:dyDescent="0.25">
      <c r="A53" s="25" t="s">
        <v>359</v>
      </c>
    </row>
    <row r="54" spans="1:1" x14ac:dyDescent="0.25">
      <c r="A54" s="35" t="s">
        <v>175</v>
      </c>
    </row>
    <row r="55" spans="1:1" ht="5.25" customHeight="1" x14ac:dyDescent="0.25">
      <c r="A55" s="35"/>
    </row>
    <row r="56" spans="1:1" x14ac:dyDescent="0.25">
      <c r="A56" s="35" t="s">
        <v>120</v>
      </c>
    </row>
    <row r="57" spans="1:1" ht="2.25" customHeight="1" x14ac:dyDescent="0.25">
      <c r="A57" s="35"/>
    </row>
    <row r="58" spans="1:1" x14ac:dyDescent="0.25">
      <c r="A58" s="25"/>
    </row>
    <row r="59" spans="1:1" ht="15.75" customHeight="1" x14ac:dyDescent="0.25">
      <c r="A59" s="25"/>
    </row>
    <row r="60" spans="1:1" x14ac:dyDescent="0.25">
      <c r="A60" s="35"/>
    </row>
    <row r="61" spans="1:1" x14ac:dyDescent="0.25">
      <c r="A61" s="35"/>
    </row>
    <row r="62" spans="1:1" x14ac:dyDescent="0.25">
      <c r="A62" s="37"/>
    </row>
    <row r="63" spans="1:1" x14ac:dyDescent="0.25">
      <c r="A63" s="37"/>
    </row>
    <row r="64" spans="1:1" x14ac:dyDescent="0.25">
      <c r="A64" s="37"/>
    </row>
    <row r="65" spans="1:3" x14ac:dyDescent="0.25">
      <c r="A65" s="38"/>
    </row>
    <row r="66" spans="1:3" x14ac:dyDescent="0.25">
      <c r="A66" s="38"/>
    </row>
    <row r="67" spans="1:3" ht="3.75" customHeight="1" x14ac:dyDescent="0.25">
      <c r="A67" s="38"/>
    </row>
    <row r="68" spans="1:3" x14ac:dyDescent="0.25">
      <c r="A68" s="38"/>
    </row>
    <row r="69" spans="1:3" ht="2.25" customHeight="1" x14ac:dyDescent="0.25">
      <c r="A69" s="42"/>
    </row>
    <row r="70" spans="1:3" ht="6.75" customHeight="1" x14ac:dyDescent="0.25">
      <c r="A70" s="38"/>
    </row>
    <row r="71" spans="1:3" ht="16.5" x14ac:dyDescent="0.25">
      <c r="A71" s="39" t="s">
        <v>176</v>
      </c>
    </row>
    <row r="72" spans="1:3" x14ac:dyDescent="0.25">
      <c r="A72" s="40" t="s">
        <v>177</v>
      </c>
    </row>
    <row r="73" spans="1:3" x14ac:dyDescent="0.25">
      <c r="A73" s="41" t="s">
        <v>178</v>
      </c>
    </row>
    <row r="74" spans="1:3" ht="1.5" customHeight="1" x14ac:dyDescent="0.25"/>
    <row r="75" spans="1:3" x14ac:dyDescent="0.25">
      <c r="A75" s="43" t="s">
        <v>179</v>
      </c>
    </row>
    <row r="76" spans="1:3" x14ac:dyDescent="0.25">
      <c r="A76" s="42"/>
    </row>
    <row r="77" spans="1:3" x14ac:dyDescent="0.25">
      <c r="A77" s="44" t="s">
        <v>198</v>
      </c>
      <c r="C77" s="68"/>
    </row>
    <row r="78" spans="1:3" ht="4.5" customHeight="1" x14ac:dyDescent="0.25">
      <c r="A78" s="45"/>
    </row>
    <row r="79" spans="1:3" x14ac:dyDescent="0.25">
      <c r="A79" s="44" t="s">
        <v>180</v>
      </c>
    </row>
    <row r="80" spans="1:3" ht="5.25" customHeight="1" x14ac:dyDescent="0.25">
      <c r="A80" s="45"/>
    </row>
    <row r="81" spans="1:3" x14ac:dyDescent="0.25">
      <c r="A81" s="44" t="s">
        <v>181</v>
      </c>
    </row>
    <row r="82" spans="1:3" ht="5.25" customHeight="1" x14ac:dyDescent="0.25">
      <c r="A82" s="44"/>
    </row>
    <row r="83" spans="1:3" x14ac:dyDescent="0.25">
      <c r="A83" s="44"/>
    </row>
    <row r="84" spans="1:3" ht="6.75" customHeight="1" x14ac:dyDescent="0.25">
      <c r="A84" s="45"/>
    </row>
    <row r="85" spans="1:3" x14ac:dyDescent="0.25">
      <c r="A85" s="43" t="s">
        <v>201</v>
      </c>
    </row>
    <row r="86" spans="1:3" ht="6.75" customHeight="1" x14ac:dyDescent="0.25">
      <c r="A86" s="42"/>
    </row>
    <row r="87" spans="1:3" x14ac:dyDescent="0.25">
      <c r="A87" s="44" t="s">
        <v>199</v>
      </c>
    </row>
    <row r="88" spans="1:3" ht="7.5" customHeight="1" x14ac:dyDescent="0.25">
      <c r="A88" s="45"/>
    </row>
    <row r="89" spans="1:3" x14ac:dyDescent="0.25">
      <c r="A89" s="44" t="s">
        <v>204</v>
      </c>
    </row>
    <row r="90" spans="1:3" ht="5.25" customHeight="1" x14ac:dyDescent="0.25">
      <c r="A90" s="44"/>
    </row>
    <row r="91" spans="1:3" ht="46" x14ac:dyDescent="0.25">
      <c r="A91" s="58" t="s">
        <v>200</v>
      </c>
    </row>
    <row r="92" spans="1:3" ht="4.5" customHeight="1" x14ac:dyDescent="0.25">
      <c r="A92" s="44"/>
    </row>
    <row r="93" spans="1:3" x14ac:dyDescent="0.25">
      <c r="A93" s="44"/>
      <c r="C93" s="68"/>
    </row>
    <row r="94" spans="1:3" ht="9" customHeight="1" x14ac:dyDescent="0.25">
      <c r="A94" s="44"/>
    </row>
    <row r="95" spans="1:3" ht="15" customHeight="1" x14ac:dyDescent="0.25">
      <c r="A95" s="43" t="s">
        <v>182</v>
      </c>
    </row>
    <row r="96" spans="1:3" ht="3" hidden="1" customHeight="1" x14ac:dyDescent="0.25">
      <c r="A96" s="40"/>
    </row>
    <row r="97" spans="1:1" ht="18" customHeight="1" x14ac:dyDescent="0.25">
      <c r="A97" s="43" t="s">
        <v>183</v>
      </c>
    </row>
    <row r="98" spans="1:1" ht="0.75" hidden="1" customHeight="1" x14ac:dyDescent="0.25">
      <c r="A98" s="46"/>
    </row>
    <row r="99" spans="1:1" x14ac:dyDescent="0.25">
      <c r="A99" s="43" t="s">
        <v>184</v>
      </c>
    </row>
    <row r="100" spans="1:1" ht="6" customHeight="1" x14ac:dyDescent="0.25">
      <c r="A100" s="40"/>
    </row>
    <row r="101" spans="1:1" x14ac:dyDescent="0.25">
      <c r="A101" s="44" t="s">
        <v>185</v>
      </c>
    </row>
    <row r="102" spans="1:1" ht="6" customHeight="1" x14ac:dyDescent="0.25">
      <c r="A102" s="45"/>
    </row>
    <row r="103" spans="1:1" x14ac:dyDescent="0.25">
      <c r="A103" s="44" t="s">
        <v>186</v>
      </c>
    </row>
    <row r="104" spans="1:1" ht="6.75" customHeight="1" x14ac:dyDescent="0.25">
      <c r="A104" s="45"/>
    </row>
    <row r="105" spans="1:1" x14ac:dyDescent="0.25">
      <c r="A105" s="47" t="s">
        <v>187</v>
      </c>
    </row>
    <row r="106" spans="1:1" ht="11.25" customHeight="1" x14ac:dyDescent="0.25">
      <c r="A106" s="48"/>
    </row>
    <row r="107" spans="1:1" x14ac:dyDescent="0.25">
      <c r="A107" s="43" t="s">
        <v>188</v>
      </c>
    </row>
    <row r="108" spans="1:1" ht="2.25" hidden="1" customHeight="1" x14ac:dyDescent="0.25">
      <c r="A108" s="46"/>
    </row>
    <row r="109" spans="1:1" x14ac:dyDescent="0.25">
      <c r="A109" s="43" t="s">
        <v>189</v>
      </c>
    </row>
    <row r="110" spans="1:1" ht="4.5" customHeight="1" x14ac:dyDescent="0.25">
      <c r="A110" s="40"/>
    </row>
    <row r="111" spans="1:1" x14ac:dyDescent="0.25">
      <c r="A111" s="44" t="s">
        <v>190</v>
      </c>
    </row>
    <row r="112" spans="1:1" ht="5.25" customHeight="1" x14ac:dyDescent="0.25">
      <c r="A112" s="45"/>
    </row>
    <row r="113" spans="1:1" x14ac:dyDescent="0.25">
      <c r="A113" s="44" t="s">
        <v>191</v>
      </c>
    </row>
    <row r="114" spans="1:1" ht="6" customHeight="1" x14ac:dyDescent="0.25">
      <c r="A114" s="45"/>
    </row>
    <row r="115" spans="1:1" x14ac:dyDescent="0.25">
      <c r="A115" s="44" t="s">
        <v>192</v>
      </c>
    </row>
    <row r="116" spans="1:1" ht="5.25" customHeight="1" x14ac:dyDescent="0.25">
      <c r="A116" s="45"/>
    </row>
    <row r="117" spans="1:1" x14ac:dyDescent="0.25">
      <c r="A117" s="44" t="s">
        <v>193</v>
      </c>
    </row>
    <row r="118" spans="1:1" ht="4.5" customHeight="1" x14ac:dyDescent="0.25">
      <c r="A118" s="45"/>
    </row>
    <row r="119" spans="1:1" ht="15" customHeight="1" x14ac:dyDescent="0.25">
      <c r="A119" s="44" t="s">
        <v>194</v>
      </c>
    </row>
    <row r="120" spans="1:1" ht="8.25" customHeight="1" x14ac:dyDescent="0.25">
      <c r="A120" s="44"/>
    </row>
    <row r="121" spans="1:1" x14ac:dyDescent="0.25">
      <c r="A121" s="61" t="s">
        <v>203</v>
      </c>
    </row>
    <row r="122" spans="1:1" x14ac:dyDescent="0.25">
      <c r="A122" s="62" t="s">
        <v>195</v>
      </c>
    </row>
    <row r="123" spans="1:1" ht="18" customHeight="1" x14ac:dyDescent="0.25">
      <c r="A123" s="38"/>
    </row>
    <row r="124" spans="1:1" x14ac:dyDescent="0.25">
      <c r="A124" s="615" t="s">
        <v>353</v>
      </c>
    </row>
    <row r="125" spans="1:1" ht="8.25" customHeight="1" x14ac:dyDescent="0.25"/>
    <row r="126" spans="1:1" x14ac:dyDescent="0.25">
      <c r="A126" s="165" t="s">
        <v>355</v>
      </c>
    </row>
    <row r="127" spans="1:1" ht="8.25" customHeight="1" x14ac:dyDescent="0.25">
      <c r="A127" s="165"/>
    </row>
    <row r="128" spans="1:1" x14ac:dyDescent="0.25">
      <c r="A128" s="165" t="s">
        <v>354</v>
      </c>
    </row>
    <row r="129" spans="1:1" ht="6.75" customHeight="1" x14ac:dyDescent="0.25">
      <c r="A129" s="165"/>
    </row>
    <row r="130" spans="1:1" x14ac:dyDescent="0.25">
      <c r="A130" s="165" t="s">
        <v>356</v>
      </c>
    </row>
  </sheetData>
  <hyperlinks>
    <hyperlink ref="A3" r:id="rId1" xr:uid="{00000000-0004-0000-0700-000000000000}"/>
    <hyperlink ref="A4" r:id="rId2" xr:uid="{00000000-0004-0000-0700-000001000000}"/>
  </hyperlinks>
  <pageMargins left="0.7" right="0.7" top="0.75" bottom="0.75" header="0.3" footer="0.3"/>
  <pageSetup paperSize="9" orientation="portrait" r:id="rId3"/>
  <rowBreaks count="1" manualBreakCount="1">
    <brk id="69" man="1"/>
  </rowBreaks>
  <extLst>
    <ext xmlns:x14="http://schemas.microsoft.com/office/spreadsheetml/2009/9/main" uri="{78C0D931-6437-407d-A8EE-F0AAD7539E65}">
      <x14:conditionalFormattings>
        <x14:conditionalFormatting xmlns:xm="http://schemas.microsoft.com/office/excel/2006/main">
          <x14:cfRule type="expression" priority="3" id="{B7FEBA8D-0D4D-4BA0-936C-FBC8495CF354}">
            <xm:f>'Home Loan - MDIR'!$H$34&lt;&gt;"Yes"</xm:f>
            <x14:dxf>
              <font>
                <color theme="0"/>
              </font>
            </x14:dxf>
          </x14:cfRule>
          <xm:sqref>A30:A31</xm:sqref>
        </x14:conditionalFormatting>
        <x14:conditionalFormatting xmlns:xm="http://schemas.microsoft.com/office/excel/2006/main">
          <x14:cfRule type="expression" priority="1" id="{DDDC5CD9-5D26-4673-B729-2F87684984EF}">
            <xm:f>'Home Loan - MDIR'!$H$34&lt;&gt;"Yes"</xm:f>
            <x14:dxf>
              <font>
                <color theme="0"/>
              </font>
            </x14:dxf>
          </x14:cfRule>
          <xm:sqref>A124:A130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0"/>
  </sheetPr>
  <dimension ref="A1:G31"/>
  <sheetViews>
    <sheetView workbookViewId="0">
      <selection activeCell="B12" sqref="B12"/>
    </sheetView>
  </sheetViews>
  <sheetFormatPr defaultColWidth="0" defaultRowHeight="13" zeroHeight="1" x14ac:dyDescent="0.3"/>
  <cols>
    <col min="1" max="1" width="43.1796875" style="69" customWidth="1"/>
    <col min="2" max="2" width="16.7265625" style="69" customWidth="1"/>
    <col min="3" max="3" width="10" style="69" customWidth="1"/>
    <col min="4" max="4" width="28.81640625" style="69" customWidth="1"/>
    <col min="5" max="5" width="13.1796875" style="69" customWidth="1"/>
    <col min="6" max="6" width="0.7265625" style="69" customWidth="1"/>
    <col min="7" max="7" width="9.1796875" style="70" hidden="1" customWidth="1"/>
    <col min="8" max="16384" width="9.1796875" style="69" hidden="1"/>
  </cols>
  <sheetData>
    <row r="1" spans="1:5" s="69" customFormat="1" ht="16" thickBot="1" x14ac:dyDescent="0.4">
      <c r="A1" s="1151" t="s">
        <v>231</v>
      </c>
      <c r="B1" s="1152"/>
      <c r="C1" s="1152"/>
      <c r="D1" s="1152"/>
      <c r="E1" s="1153"/>
    </row>
    <row r="2" spans="1:5" s="69" customFormat="1" ht="13.5" thickBot="1" x14ac:dyDescent="0.35">
      <c r="A2" s="74"/>
      <c r="B2" s="74"/>
      <c r="C2" s="74"/>
      <c r="D2" s="74"/>
      <c r="E2" s="74"/>
    </row>
    <row r="3" spans="1:5" s="69" customFormat="1" ht="13.5" thickBot="1" x14ac:dyDescent="0.35">
      <c r="A3" s="79" t="s">
        <v>210</v>
      </c>
      <c r="B3" s="86"/>
      <c r="C3" s="74"/>
      <c r="D3" s="85" t="s">
        <v>230</v>
      </c>
      <c r="E3" s="86"/>
    </row>
    <row r="4" spans="1:5" s="69" customFormat="1" ht="13.5" thickBot="1" x14ac:dyDescent="0.35">
      <c r="A4" s="79" t="s">
        <v>229</v>
      </c>
      <c r="B4" s="90"/>
      <c r="C4" s="74"/>
      <c r="D4" s="85" t="s">
        <v>228</v>
      </c>
      <c r="E4" s="90"/>
    </row>
    <row r="5" spans="1:5" s="69" customFormat="1" ht="13.5" thickBot="1" x14ac:dyDescent="0.35">
      <c r="A5" s="79" t="s">
        <v>227</v>
      </c>
      <c r="B5" s="90"/>
      <c r="C5" s="74"/>
      <c r="D5" s="85" t="s">
        <v>226</v>
      </c>
      <c r="E5" s="90"/>
    </row>
    <row r="6" spans="1:5" s="69" customFormat="1" ht="13.5" thickBot="1" x14ac:dyDescent="0.35">
      <c r="A6" s="79" t="s">
        <v>225</v>
      </c>
      <c r="B6" s="90"/>
      <c r="C6" s="74"/>
      <c r="D6" s="79" t="s">
        <v>224</v>
      </c>
      <c r="E6" s="78">
        <f>E3-E4-E5</f>
        <v>0</v>
      </c>
    </row>
    <row r="7" spans="1:5" s="69" customFormat="1" ht="13.5" thickBot="1" x14ac:dyDescent="0.35">
      <c r="A7" s="89" t="s">
        <v>223</v>
      </c>
      <c r="B7" s="78">
        <f>SUM(B3:B6)</f>
        <v>0</v>
      </c>
      <c r="C7" s="74"/>
      <c r="D7" s="74"/>
      <c r="E7" s="74"/>
    </row>
    <row r="8" spans="1:5" s="69" customFormat="1" x14ac:dyDescent="0.3">
      <c r="A8" s="74"/>
      <c r="B8" s="87"/>
      <c r="C8" s="74"/>
      <c r="D8" s="74"/>
      <c r="E8" s="74"/>
    </row>
    <row r="9" spans="1:5" s="69" customFormat="1" ht="15.5" x14ac:dyDescent="0.35">
      <c r="A9" s="88" t="s">
        <v>222</v>
      </c>
      <c r="B9" s="87"/>
      <c r="C9" s="74"/>
      <c r="D9" s="74"/>
      <c r="E9" s="74"/>
    </row>
    <row r="10" spans="1:5" s="69" customFormat="1" ht="16" thickBot="1" x14ac:dyDescent="0.4">
      <c r="A10" s="88"/>
      <c r="B10" s="87"/>
      <c r="C10" s="74"/>
      <c r="D10" s="69" t="s">
        <v>221</v>
      </c>
    </row>
    <row r="11" spans="1:5" s="69" customFormat="1" ht="13.5" thickBot="1" x14ac:dyDescent="0.35">
      <c r="A11" s="79" t="s">
        <v>220</v>
      </c>
      <c r="B11" s="86"/>
      <c r="C11" s="74"/>
      <c r="D11" s="1154"/>
      <c r="E11" s="1155"/>
    </row>
    <row r="12" spans="1:5" s="69" customFormat="1" ht="13.5" thickBot="1" x14ac:dyDescent="0.35">
      <c r="A12" s="85" t="s">
        <v>232</v>
      </c>
      <c r="B12" s="91">
        <f>E6</f>
        <v>0</v>
      </c>
      <c r="C12" s="74"/>
      <c r="D12" s="1156"/>
      <c r="E12" s="1157"/>
    </row>
    <row r="13" spans="1:5" s="69" customFormat="1" ht="13.5" thickBot="1" x14ac:dyDescent="0.35">
      <c r="A13" s="79" t="s">
        <v>219</v>
      </c>
      <c r="B13" s="84"/>
      <c r="C13" s="74"/>
      <c r="D13" s="83"/>
      <c r="E13" s="83"/>
    </row>
    <row r="14" spans="1:5" s="69" customFormat="1" ht="13.5" thickBot="1" x14ac:dyDescent="0.35">
      <c r="A14" s="79" t="s">
        <v>218</v>
      </c>
      <c r="B14" s="78">
        <f>SUM(B11:B13)</f>
        <v>0</v>
      </c>
      <c r="C14" s="74"/>
      <c r="D14" s="82" t="s">
        <v>217</v>
      </c>
      <c r="E14" s="82" t="s">
        <v>28</v>
      </c>
    </row>
    <row r="15" spans="1:5" s="69" customFormat="1" ht="13.5" thickBot="1" x14ac:dyDescent="0.35">
      <c r="A15" s="81"/>
      <c r="B15" s="80"/>
      <c r="C15" s="74"/>
      <c r="D15" s="69" t="s">
        <v>216</v>
      </c>
      <c r="E15" s="76"/>
    </row>
    <row r="16" spans="1:5" s="69" customFormat="1" ht="13.5" thickBot="1" x14ac:dyDescent="0.35">
      <c r="A16" s="79" t="s">
        <v>215</v>
      </c>
      <c r="B16" s="78">
        <f>B14-B7</f>
        <v>0</v>
      </c>
      <c r="C16" s="74"/>
      <c r="D16" s="77" t="s">
        <v>214</v>
      </c>
      <c r="E16" s="76"/>
    </row>
    <row r="17" spans="1:5" s="69" customFormat="1" ht="13.5" thickBot="1" x14ac:dyDescent="0.35">
      <c r="A17" s="74"/>
      <c r="B17" s="74"/>
      <c r="C17" s="74"/>
      <c r="D17" s="77" t="s">
        <v>213</v>
      </c>
      <c r="E17" s="76"/>
    </row>
    <row r="18" spans="1:5" s="69" customFormat="1" ht="13.5" thickBot="1" x14ac:dyDescent="0.35">
      <c r="A18" s="75"/>
      <c r="B18" s="75"/>
      <c r="C18" s="74"/>
      <c r="D18" s="69" t="s">
        <v>26</v>
      </c>
      <c r="E18" s="73">
        <f>SUM(E15:E17)</f>
        <v>0</v>
      </c>
    </row>
    <row r="19" spans="1:5" s="69" customFormat="1" hidden="1" x14ac:dyDescent="0.3">
      <c r="A19" s="72"/>
      <c r="B19" s="1149"/>
      <c r="C19" s="980"/>
    </row>
    <row r="20" spans="1:5" s="69" customFormat="1" ht="12.75" hidden="1" customHeight="1" x14ac:dyDescent="0.3">
      <c r="A20" s="71"/>
      <c r="B20" s="1150"/>
      <c r="C20" s="1148"/>
    </row>
    <row r="21" spans="1:5" s="69" customFormat="1" ht="12.75" hidden="1" customHeight="1" x14ac:dyDescent="0.3">
      <c r="A21" s="71"/>
      <c r="B21" s="1150"/>
      <c r="C21" s="1148"/>
    </row>
    <row r="22" spans="1:5" s="69" customFormat="1" ht="12.75" hidden="1" customHeight="1" x14ac:dyDescent="0.3">
      <c r="A22" s="71"/>
      <c r="B22" s="1150"/>
      <c r="C22" s="1148"/>
    </row>
    <row r="23" spans="1:5" s="69" customFormat="1" ht="12.75" hidden="1" customHeight="1" x14ac:dyDescent="0.3">
      <c r="A23" s="71"/>
      <c r="B23" s="1150"/>
      <c r="C23" s="1148"/>
    </row>
    <row r="24" spans="1:5" s="69" customFormat="1" ht="12.75" hidden="1" customHeight="1" x14ac:dyDescent="0.3">
      <c r="A24" s="71"/>
      <c r="B24" s="1147"/>
      <c r="C24" s="1148"/>
    </row>
    <row r="25" spans="1:5" s="69" customFormat="1" ht="12.75" hidden="1" customHeight="1" x14ac:dyDescent="0.3">
      <c r="A25" s="71"/>
      <c r="B25" s="1147"/>
      <c r="C25" s="1148"/>
    </row>
    <row r="26" spans="1:5" s="69" customFormat="1" ht="12.75" hidden="1" customHeight="1" x14ac:dyDescent="0.3">
      <c r="A26" s="71"/>
      <c r="B26" s="1147"/>
      <c r="C26" s="1148"/>
    </row>
    <row r="27" spans="1:5" s="69" customFormat="1" ht="12.75" hidden="1" customHeight="1" x14ac:dyDescent="0.3"/>
    <row r="28" spans="1:5" s="69" customFormat="1" hidden="1" x14ac:dyDescent="0.3"/>
    <row r="29" spans="1:5" s="69" customFormat="1" hidden="1" x14ac:dyDescent="0.3"/>
    <row r="30" spans="1:5" s="69" customFormat="1" hidden="1" x14ac:dyDescent="0.3"/>
    <row r="31" spans="1:5" s="69" customFormat="1" hidden="1" x14ac:dyDescent="0.3"/>
  </sheetData>
  <mergeCells count="10">
    <mergeCell ref="A1:E1"/>
    <mergeCell ref="B25:C25"/>
    <mergeCell ref="B23:C23"/>
    <mergeCell ref="B24:C24"/>
    <mergeCell ref="D11:E12"/>
    <mergeCell ref="B26:C26"/>
    <mergeCell ref="B19:C19"/>
    <mergeCell ref="B20:C20"/>
    <mergeCell ref="B21:C21"/>
    <mergeCell ref="B22:C22"/>
  </mergeCells>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0"/>
  </sheetPr>
  <dimension ref="A1:F65514"/>
  <sheetViews>
    <sheetView showWhiteSpace="0" zoomScale="85" zoomScaleNormal="85" zoomScaleSheetLayoutView="85" workbookViewId="0">
      <selection activeCell="C13" sqref="C13"/>
    </sheetView>
  </sheetViews>
  <sheetFormatPr defaultColWidth="0" defaultRowHeight="12.5" zeroHeight="1" x14ac:dyDescent="0.25"/>
  <cols>
    <col min="1" max="1" width="14.54296875" style="1" customWidth="1"/>
    <col min="2" max="2" width="13.7265625" style="2" customWidth="1"/>
    <col min="3" max="3" width="13.7265625" style="3" customWidth="1"/>
    <col min="4" max="4" width="4.81640625" style="3" customWidth="1"/>
    <col min="5" max="5" width="13.54296875" style="1" customWidth="1"/>
    <col min="6" max="6" width="16.54296875" style="1" customWidth="1"/>
    <col min="7" max="7" width="20.81640625" style="1" customWidth="1"/>
    <col min="8" max="16384" width="0" style="1" hidden="1"/>
  </cols>
  <sheetData>
    <row r="1" spans="1:6" x14ac:dyDescent="0.25"/>
    <row r="2" spans="1:6" ht="15.5" x14ac:dyDescent="0.35">
      <c r="A2" s="23" t="s">
        <v>605</v>
      </c>
      <c r="B2" s="4"/>
    </row>
    <row r="3" spans="1:6" ht="15.5" x14ac:dyDescent="0.35">
      <c r="A3" s="23"/>
      <c r="B3" s="4"/>
    </row>
    <row r="4" spans="1:6" ht="15.5" x14ac:dyDescent="0.35">
      <c r="A4" s="5"/>
      <c r="B4" s="6"/>
    </row>
    <row r="5" spans="1:6" ht="30" customHeight="1" x14ac:dyDescent="0.25">
      <c r="A5" s="10" t="s">
        <v>23</v>
      </c>
      <c r="B5" s="11" t="s">
        <v>21</v>
      </c>
      <c r="C5" s="11" t="s">
        <v>98</v>
      </c>
      <c r="D5" s="12"/>
      <c r="E5" s="1159" t="s">
        <v>106</v>
      </c>
      <c r="F5" s="1160"/>
    </row>
    <row r="6" spans="1:6" x14ac:dyDescent="0.25">
      <c r="A6" s="13">
        <v>5000</v>
      </c>
      <c r="B6" s="14">
        <v>1</v>
      </c>
      <c r="C6" s="15">
        <v>1</v>
      </c>
      <c r="D6" s="16"/>
      <c r="E6" s="1161"/>
      <c r="F6" s="1162"/>
    </row>
    <row r="7" spans="1:6" x14ac:dyDescent="0.25">
      <c r="A7" s="17">
        <v>10000</v>
      </c>
      <c r="B7" s="18">
        <v>1</v>
      </c>
      <c r="C7" s="19">
        <v>1</v>
      </c>
      <c r="D7" s="16"/>
      <c r="E7" s="1161"/>
      <c r="F7" s="1162"/>
    </row>
    <row r="8" spans="1:6" x14ac:dyDescent="0.25">
      <c r="A8" s="17">
        <v>15000</v>
      </c>
      <c r="B8" s="18">
        <v>0.98</v>
      </c>
      <c r="C8" s="19">
        <v>0.98</v>
      </c>
      <c r="D8" s="16"/>
      <c r="E8" s="1161"/>
      <c r="F8" s="1162"/>
    </row>
    <row r="9" spans="1:6" x14ac:dyDescent="0.25">
      <c r="A9" s="17">
        <v>20000</v>
      </c>
      <c r="B9" s="18">
        <v>0.9</v>
      </c>
      <c r="C9" s="19">
        <v>0.93</v>
      </c>
      <c r="D9" s="16"/>
      <c r="E9" s="1161"/>
      <c r="F9" s="1162"/>
    </row>
    <row r="10" spans="1:6" x14ac:dyDescent="0.25">
      <c r="A10" s="17">
        <v>25000</v>
      </c>
      <c r="B10" s="18">
        <v>0.86</v>
      </c>
      <c r="C10" s="19">
        <v>0.92</v>
      </c>
      <c r="D10" s="16"/>
      <c r="E10" s="1163"/>
      <c r="F10" s="1164"/>
    </row>
    <row r="11" spans="1:6" x14ac:dyDescent="0.25">
      <c r="A11" s="17">
        <v>30000</v>
      </c>
      <c r="B11" s="18">
        <v>0.83</v>
      </c>
      <c r="C11" s="19">
        <v>0.88</v>
      </c>
      <c r="D11" s="16"/>
      <c r="E11" s="24"/>
      <c r="F11" s="24"/>
    </row>
    <row r="12" spans="1:6" x14ac:dyDescent="0.25">
      <c r="A12" s="17">
        <v>35000</v>
      </c>
      <c r="B12" s="18">
        <v>0.8</v>
      </c>
      <c r="C12" s="19">
        <v>0.86</v>
      </c>
      <c r="D12" s="16"/>
      <c r="E12" s="24"/>
      <c r="F12" s="24"/>
    </row>
    <row r="13" spans="1:6" x14ac:dyDescent="0.25">
      <c r="A13" s="17">
        <v>40000</v>
      </c>
      <c r="B13" s="18">
        <v>0.76</v>
      </c>
      <c r="C13" s="19">
        <v>0.84</v>
      </c>
      <c r="D13" s="16"/>
      <c r="E13" s="24"/>
      <c r="F13" s="24"/>
    </row>
    <row r="14" spans="1:6" x14ac:dyDescent="0.25">
      <c r="A14" s="17">
        <v>45000</v>
      </c>
      <c r="B14" s="18">
        <v>0.73</v>
      </c>
      <c r="C14" s="19">
        <v>0.81</v>
      </c>
      <c r="D14" s="16"/>
      <c r="E14" s="24"/>
      <c r="F14" s="24"/>
    </row>
    <row r="15" spans="1:6" x14ac:dyDescent="0.25">
      <c r="A15" s="17">
        <v>50000</v>
      </c>
      <c r="B15" s="18">
        <v>0.71</v>
      </c>
      <c r="C15" s="19">
        <v>0.78</v>
      </c>
      <c r="D15" s="16"/>
    </row>
    <row r="16" spans="1:6" x14ac:dyDescent="0.25">
      <c r="A16" s="17">
        <v>55000</v>
      </c>
      <c r="B16" s="18">
        <v>0.69</v>
      </c>
      <c r="C16" s="19">
        <v>0.75</v>
      </c>
      <c r="D16" s="16"/>
    </row>
    <row r="17" spans="1:4" x14ac:dyDescent="0.25">
      <c r="A17" s="17">
        <v>60000</v>
      </c>
      <c r="B17" s="18">
        <v>0.67</v>
      </c>
      <c r="C17" s="19">
        <v>0.73</v>
      </c>
      <c r="D17" s="16"/>
    </row>
    <row r="18" spans="1:4" x14ac:dyDescent="0.25">
      <c r="A18" s="17">
        <v>65000</v>
      </c>
      <c r="B18" s="18">
        <v>0.66</v>
      </c>
      <c r="C18" s="19">
        <v>0.71</v>
      </c>
      <c r="D18" s="16"/>
    </row>
    <row r="19" spans="1:4" x14ac:dyDescent="0.25">
      <c r="A19" s="17">
        <v>70000</v>
      </c>
      <c r="B19" s="18">
        <v>0.65</v>
      </c>
      <c r="C19" s="19">
        <v>0.7</v>
      </c>
      <c r="D19" s="16"/>
    </row>
    <row r="20" spans="1:4" x14ac:dyDescent="0.25">
      <c r="A20" s="17">
        <v>75000</v>
      </c>
      <c r="B20" s="18">
        <v>0.63</v>
      </c>
      <c r="C20" s="19">
        <v>0.68</v>
      </c>
      <c r="D20" s="16"/>
    </row>
    <row r="21" spans="1:4" x14ac:dyDescent="0.25">
      <c r="A21" s="17">
        <v>80000</v>
      </c>
      <c r="B21" s="18">
        <v>0.63</v>
      </c>
      <c r="C21" s="19">
        <v>0.67</v>
      </c>
      <c r="D21" s="16"/>
    </row>
    <row r="22" spans="1:4" x14ac:dyDescent="0.25">
      <c r="A22" s="17">
        <v>85000</v>
      </c>
      <c r="B22" s="18">
        <v>0.62</v>
      </c>
      <c r="C22" s="19">
        <v>0.66</v>
      </c>
      <c r="D22" s="16"/>
    </row>
    <row r="23" spans="1:4" x14ac:dyDescent="0.25">
      <c r="A23" s="17">
        <v>90000</v>
      </c>
      <c r="B23" s="18">
        <v>0.61</v>
      </c>
      <c r="C23" s="19">
        <v>0.65</v>
      </c>
      <c r="D23" s="16"/>
    </row>
    <row r="24" spans="1:4" x14ac:dyDescent="0.25">
      <c r="A24" s="17">
        <v>95000</v>
      </c>
      <c r="B24" s="18">
        <v>0.6</v>
      </c>
      <c r="C24" s="19">
        <v>0.64</v>
      </c>
      <c r="D24" s="16"/>
    </row>
    <row r="25" spans="1:4" x14ac:dyDescent="0.25">
      <c r="A25" s="17">
        <v>100000</v>
      </c>
      <c r="B25" s="18">
        <v>0.6</v>
      </c>
      <c r="C25" s="19">
        <v>0.63</v>
      </c>
      <c r="D25" s="16"/>
    </row>
    <row r="26" spans="1:4" x14ac:dyDescent="0.25">
      <c r="A26" s="17">
        <v>105000</v>
      </c>
      <c r="B26" s="18">
        <v>0.59</v>
      </c>
      <c r="C26" s="19">
        <v>0.62</v>
      </c>
      <c r="D26" s="16"/>
    </row>
    <row r="27" spans="1:4" x14ac:dyDescent="0.25">
      <c r="A27" s="17">
        <v>110000</v>
      </c>
      <c r="B27" s="18">
        <v>0.59</v>
      </c>
      <c r="C27" s="19">
        <v>0.62</v>
      </c>
      <c r="D27" s="16"/>
    </row>
    <row r="28" spans="1:4" x14ac:dyDescent="0.25">
      <c r="A28" s="17">
        <v>115000</v>
      </c>
      <c r="B28" s="18">
        <v>0.57999999999999996</v>
      </c>
      <c r="C28" s="19">
        <v>0.61</v>
      </c>
      <c r="D28" s="16"/>
    </row>
    <row r="29" spans="1:4" x14ac:dyDescent="0.25">
      <c r="A29" s="17">
        <v>120000</v>
      </c>
      <c r="B29" s="18">
        <v>0.57999999999999996</v>
      </c>
      <c r="C29" s="19">
        <v>0.61</v>
      </c>
      <c r="D29" s="16"/>
    </row>
    <row r="30" spans="1:4" x14ac:dyDescent="0.25">
      <c r="A30" s="17">
        <v>125000</v>
      </c>
      <c r="B30" s="18">
        <v>0.56999999999999995</v>
      </c>
      <c r="C30" s="19">
        <v>0.6</v>
      </c>
      <c r="D30" s="16"/>
    </row>
    <row r="31" spans="1:4" x14ac:dyDescent="0.25">
      <c r="A31" s="17">
        <v>130000</v>
      </c>
      <c r="B31" s="18">
        <v>0.56999999999999995</v>
      </c>
      <c r="C31" s="19">
        <v>0.6</v>
      </c>
      <c r="D31" s="16"/>
    </row>
    <row r="32" spans="1:4" x14ac:dyDescent="0.25">
      <c r="A32" s="17">
        <v>135000</v>
      </c>
      <c r="B32" s="18">
        <v>0.56999999999999995</v>
      </c>
      <c r="C32" s="19">
        <v>0.59</v>
      </c>
      <c r="D32" s="16"/>
    </row>
    <row r="33" spans="1:4" x14ac:dyDescent="0.25">
      <c r="A33" s="17">
        <v>140000</v>
      </c>
      <c r="B33" s="18">
        <v>0.56000000000000005</v>
      </c>
      <c r="C33" s="19">
        <v>0.59</v>
      </c>
      <c r="D33" s="16"/>
    </row>
    <row r="34" spans="1:4" x14ac:dyDescent="0.25">
      <c r="A34" s="17">
        <v>145000</v>
      </c>
      <c r="B34" s="18">
        <v>0.56000000000000005</v>
      </c>
      <c r="C34" s="19">
        <v>0.57999999999999996</v>
      </c>
      <c r="D34" s="16"/>
    </row>
    <row r="35" spans="1:4" x14ac:dyDescent="0.25">
      <c r="A35" s="17">
        <v>150000</v>
      </c>
      <c r="B35" s="18">
        <v>0.56000000000000005</v>
      </c>
      <c r="C35" s="19">
        <v>0.57999999999999996</v>
      </c>
      <c r="D35" s="16"/>
    </row>
    <row r="36" spans="1:4" x14ac:dyDescent="0.25">
      <c r="A36" s="17">
        <v>155000</v>
      </c>
      <c r="B36" s="18">
        <v>0.55000000000000004</v>
      </c>
      <c r="C36" s="19">
        <v>0.57999999999999996</v>
      </c>
      <c r="D36" s="16"/>
    </row>
    <row r="37" spans="1:4" x14ac:dyDescent="0.25">
      <c r="A37" s="17">
        <v>160000</v>
      </c>
      <c r="B37" s="18">
        <v>0.55000000000000004</v>
      </c>
      <c r="C37" s="19">
        <v>0.56999999999999995</v>
      </c>
      <c r="D37" s="16"/>
    </row>
    <row r="38" spans="1:4" x14ac:dyDescent="0.25">
      <c r="A38" s="17">
        <v>165000</v>
      </c>
      <c r="B38" s="18">
        <v>0.55000000000000004</v>
      </c>
      <c r="C38" s="19">
        <v>0.56999999999999995</v>
      </c>
      <c r="D38" s="16"/>
    </row>
    <row r="39" spans="1:4" x14ac:dyDescent="0.25">
      <c r="A39" s="17">
        <v>170000</v>
      </c>
      <c r="B39" s="18">
        <v>0.55000000000000004</v>
      </c>
      <c r="C39" s="19">
        <v>0.56999999999999995</v>
      </c>
      <c r="D39" s="16"/>
    </row>
    <row r="40" spans="1:4" x14ac:dyDescent="0.25">
      <c r="A40" s="17">
        <v>175000</v>
      </c>
      <c r="B40" s="18">
        <v>0.55000000000000004</v>
      </c>
      <c r="C40" s="19">
        <v>0.56999999999999995</v>
      </c>
      <c r="D40" s="16"/>
    </row>
    <row r="41" spans="1:4" x14ac:dyDescent="0.25">
      <c r="A41" s="17">
        <v>180000</v>
      </c>
      <c r="B41" s="18">
        <v>0.54</v>
      </c>
      <c r="C41" s="19">
        <v>0.56000000000000005</v>
      </c>
      <c r="D41" s="16"/>
    </row>
    <row r="42" spans="1:4" x14ac:dyDescent="0.25">
      <c r="A42" s="17">
        <v>185000</v>
      </c>
      <c r="B42" s="18">
        <v>0.54</v>
      </c>
      <c r="C42" s="19">
        <v>0.56000000000000005</v>
      </c>
      <c r="D42" s="16"/>
    </row>
    <row r="43" spans="1:4" x14ac:dyDescent="0.25">
      <c r="A43" s="17">
        <v>190000</v>
      </c>
      <c r="B43" s="18">
        <v>0.54</v>
      </c>
      <c r="C43" s="19">
        <v>0.56000000000000005</v>
      </c>
      <c r="D43" s="16"/>
    </row>
    <row r="44" spans="1:4" x14ac:dyDescent="0.25">
      <c r="A44" s="17">
        <v>195000</v>
      </c>
      <c r="B44" s="18">
        <v>0.54</v>
      </c>
      <c r="C44" s="19">
        <v>0.56000000000000005</v>
      </c>
      <c r="D44" s="16"/>
    </row>
    <row r="45" spans="1:4" x14ac:dyDescent="0.25">
      <c r="A45" s="20">
        <v>200000</v>
      </c>
      <c r="B45" s="21">
        <v>0.54</v>
      </c>
      <c r="C45" s="22">
        <v>0.56000000000000005</v>
      </c>
      <c r="D45" s="16"/>
    </row>
    <row r="46" spans="1:4" x14ac:dyDescent="0.25">
      <c r="A46" s="9"/>
      <c r="B46" s="9"/>
      <c r="C46" s="9"/>
      <c r="D46" s="16"/>
    </row>
    <row r="47" spans="1:4" ht="30" hidden="1" customHeight="1" x14ac:dyDescent="0.25">
      <c r="A47" s="1158"/>
      <c r="B47" s="1158"/>
      <c r="C47" s="1158"/>
      <c r="D47" s="1158"/>
    </row>
    <row r="48" spans="1:4" ht="36" hidden="1" customHeight="1" x14ac:dyDescent="0.25">
      <c r="A48" s="1158"/>
      <c r="B48" s="1158"/>
      <c r="C48" s="1158"/>
      <c r="D48" s="1158"/>
    </row>
    <row r="49" spans="2:4" ht="13" hidden="1" x14ac:dyDescent="0.3">
      <c r="B49" s="8"/>
      <c r="C49" s="8"/>
      <c r="D49" s="8"/>
    </row>
    <row r="50" spans="2:4" ht="13" hidden="1" x14ac:dyDescent="0.3">
      <c r="B50" s="8"/>
      <c r="C50" s="8"/>
      <c r="D50" s="8"/>
    </row>
    <row r="51" spans="2:4" hidden="1" x14ac:dyDescent="0.25"/>
    <row r="52" spans="2:4" hidden="1" x14ac:dyDescent="0.25"/>
    <row r="53" spans="2:4" hidden="1" x14ac:dyDescent="0.25"/>
    <row r="54" spans="2:4" hidden="1" x14ac:dyDescent="0.25"/>
    <row r="55" spans="2:4" hidden="1" x14ac:dyDescent="0.25"/>
    <row r="56" spans="2:4" hidden="1" x14ac:dyDescent="0.25"/>
    <row r="57" spans="2:4" hidden="1" x14ac:dyDescent="0.25"/>
    <row r="58" spans="2:4" hidden="1" x14ac:dyDescent="0.25"/>
    <row r="59" spans="2:4" hidden="1" x14ac:dyDescent="0.25"/>
    <row r="60" spans="2:4" hidden="1" x14ac:dyDescent="0.25"/>
    <row r="61" spans="2:4" hidden="1" x14ac:dyDescent="0.25"/>
    <row r="62" spans="2:4" hidden="1" x14ac:dyDescent="0.25"/>
    <row r="63" spans="2:4" hidden="1" x14ac:dyDescent="0.25"/>
    <row r="64" spans="2: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sheetData>
  <mergeCells count="2">
    <mergeCell ref="A47:D48"/>
    <mergeCell ref="E5:F10"/>
  </mergeCells>
  <phoneticPr fontId="15" type="noConversion"/>
  <pageMargins left="0.75" right="0.75" top="1" bottom="1" header="0.5" footer="0.5"/>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CH2"/>
  <sheetViews>
    <sheetView workbookViewId="0">
      <selection activeCell="C2" sqref="C2"/>
    </sheetView>
  </sheetViews>
  <sheetFormatPr defaultRowHeight="12.5" x14ac:dyDescent="0.25"/>
  <cols>
    <col min="1" max="1" width="19.7265625" bestFit="1" customWidth="1"/>
    <col min="2" max="2" width="20.54296875" bestFit="1" customWidth="1"/>
    <col min="3" max="3" width="13.1796875" bestFit="1" customWidth="1"/>
    <col min="4" max="4" width="20.1796875" bestFit="1" customWidth="1"/>
    <col min="5" max="5" width="15.1796875" bestFit="1" customWidth="1"/>
    <col min="6" max="6" width="23" bestFit="1" customWidth="1"/>
    <col min="7" max="7" width="24.1796875" bestFit="1" customWidth="1"/>
    <col min="8" max="9" width="17" bestFit="1" customWidth="1"/>
    <col min="10" max="10" width="17" customWidth="1"/>
    <col min="11" max="11" width="23" bestFit="1" customWidth="1"/>
    <col min="12" max="12" width="23.26953125" bestFit="1" customWidth="1"/>
    <col min="13" max="13" width="15.1796875" bestFit="1" customWidth="1"/>
    <col min="14" max="14" width="29.1796875" bestFit="1" customWidth="1"/>
    <col min="15" max="15" width="15.26953125" bestFit="1" customWidth="1"/>
    <col min="16" max="16" width="16" bestFit="1" customWidth="1"/>
    <col min="19" max="19" width="18.26953125" bestFit="1" customWidth="1"/>
    <col min="20" max="20" width="14.453125" bestFit="1" customWidth="1"/>
    <col min="21" max="21" width="16.7265625" bestFit="1" customWidth="1"/>
    <col min="23" max="23" width="14.453125" bestFit="1" customWidth="1"/>
    <col min="24" max="24" width="17.453125" bestFit="1" customWidth="1"/>
    <col min="30" max="30" width="13.1796875" bestFit="1" customWidth="1"/>
    <col min="31" max="31" width="10.1796875" bestFit="1" customWidth="1"/>
    <col min="32" max="32" width="22.7265625" bestFit="1" customWidth="1"/>
    <col min="35" max="35" width="10.7265625" bestFit="1" customWidth="1"/>
    <col min="36" max="36" width="19.1796875" bestFit="1" customWidth="1"/>
    <col min="37" max="37" width="20.453125" bestFit="1" customWidth="1"/>
    <col min="38" max="38" width="23.54296875" bestFit="1" customWidth="1"/>
    <col min="39" max="39" width="15.26953125" bestFit="1" customWidth="1"/>
    <col min="42" max="42" width="11.54296875" bestFit="1" customWidth="1"/>
    <col min="43" max="43" width="16.81640625" bestFit="1" customWidth="1"/>
    <col min="45" max="46" width="10.7265625" bestFit="1" customWidth="1"/>
    <col min="47" max="47" width="16.7265625" bestFit="1" customWidth="1"/>
    <col min="49" max="49" width="20.1796875" bestFit="1" customWidth="1"/>
    <col min="50" max="50" width="15.7265625" bestFit="1" customWidth="1"/>
    <col min="52" max="52" width="18.26953125" bestFit="1" customWidth="1"/>
    <col min="54" max="54" width="10.26953125" bestFit="1" customWidth="1"/>
    <col min="55" max="55" width="4.26953125" bestFit="1" customWidth="1"/>
    <col min="56" max="56" width="15.26953125" bestFit="1" customWidth="1"/>
    <col min="58" max="58" width="18.453125" bestFit="1" customWidth="1"/>
    <col min="59" max="59" width="22.453125" bestFit="1" customWidth="1"/>
    <col min="60" max="60" width="10.453125" bestFit="1" customWidth="1"/>
    <col min="61" max="61" width="10.81640625" bestFit="1" customWidth="1"/>
    <col min="62" max="62" width="17.54296875" bestFit="1" customWidth="1"/>
    <col min="63" max="63" width="19.81640625" bestFit="1" customWidth="1"/>
    <col min="73" max="73" width="14.54296875" bestFit="1" customWidth="1"/>
    <col min="74" max="74" width="17.54296875" bestFit="1" customWidth="1"/>
    <col min="75" max="75" width="21.7265625" bestFit="1" customWidth="1"/>
    <col min="76" max="76" width="16.26953125" bestFit="1" customWidth="1"/>
    <col min="77" max="77" width="20.453125" bestFit="1" customWidth="1"/>
    <col min="78" max="78" width="19.7265625" bestFit="1" customWidth="1"/>
  </cols>
  <sheetData>
    <row r="1" spans="1:86" ht="14.5" x14ac:dyDescent="0.35">
      <c r="A1" s="822" t="s">
        <v>510</v>
      </c>
      <c r="B1" s="822" t="s">
        <v>579</v>
      </c>
      <c r="C1" s="822" t="s">
        <v>580</v>
      </c>
      <c r="D1" s="822" t="s">
        <v>513</v>
      </c>
      <c r="E1" s="822" t="s">
        <v>515</v>
      </c>
      <c r="F1" s="822" t="s">
        <v>516</v>
      </c>
      <c r="G1" s="822" t="s">
        <v>518</v>
      </c>
      <c r="H1" s="822" t="s">
        <v>520</v>
      </c>
      <c r="I1" s="822" t="s">
        <v>522</v>
      </c>
      <c r="J1" s="822" t="s">
        <v>599</v>
      </c>
      <c r="K1" s="822" t="s">
        <v>581</v>
      </c>
      <c r="L1" s="822" t="s">
        <v>582</v>
      </c>
      <c r="M1" s="822" t="s">
        <v>560</v>
      </c>
      <c r="N1" s="822" t="s">
        <v>577</v>
      </c>
      <c r="O1" s="822" t="s">
        <v>511</v>
      </c>
      <c r="P1" s="822" t="s">
        <v>514</v>
      </c>
      <c r="Q1" s="822" t="s">
        <v>369</v>
      </c>
      <c r="R1" s="822" t="s">
        <v>517</v>
      </c>
      <c r="S1" s="822" t="s">
        <v>519</v>
      </c>
      <c r="T1" s="822" t="s">
        <v>521</v>
      </c>
      <c r="U1" s="822" t="s">
        <v>80</v>
      </c>
      <c r="V1" s="822" t="s">
        <v>209</v>
      </c>
      <c r="W1" s="822" t="s">
        <v>524</v>
      </c>
      <c r="X1" s="822" t="s">
        <v>526</v>
      </c>
      <c r="Y1" s="822" t="s">
        <v>512</v>
      </c>
      <c r="Z1" s="822" t="s">
        <v>385</v>
      </c>
      <c r="AA1" s="822" t="s">
        <v>28</v>
      </c>
      <c r="AB1" s="822" t="s">
        <v>71</v>
      </c>
      <c r="AC1" s="822" t="s">
        <v>107</v>
      </c>
      <c r="AD1" s="822" t="s">
        <v>342</v>
      </c>
      <c r="AE1" s="822" t="s">
        <v>523</v>
      </c>
      <c r="AF1" s="822" t="s">
        <v>583</v>
      </c>
      <c r="AG1" s="822" t="s">
        <v>584</v>
      </c>
      <c r="AH1" s="822" t="s">
        <v>585</v>
      </c>
      <c r="AI1" s="822" t="s">
        <v>525</v>
      </c>
      <c r="AJ1" s="822" t="s">
        <v>574</v>
      </c>
      <c r="AK1" s="822" t="s">
        <v>575</v>
      </c>
      <c r="AL1" s="822" t="s">
        <v>578</v>
      </c>
      <c r="AM1" s="822" t="s">
        <v>586</v>
      </c>
      <c r="AN1" s="822" t="s">
        <v>527</v>
      </c>
      <c r="AO1" s="822" t="s">
        <v>530</v>
      </c>
      <c r="AP1" s="822" t="s">
        <v>531</v>
      </c>
      <c r="AQ1" s="822" t="s">
        <v>587</v>
      </c>
      <c r="AR1" s="822" t="s">
        <v>528</v>
      </c>
      <c r="AS1" s="822" t="s">
        <v>133</v>
      </c>
      <c r="AT1" s="822" t="s">
        <v>532</v>
      </c>
      <c r="AU1" s="822" t="s">
        <v>529</v>
      </c>
      <c r="AV1" s="822" t="s">
        <v>32</v>
      </c>
      <c r="AW1" s="822" t="s">
        <v>588</v>
      </c>
      <c r="AX1" s="822" t="s">
        <v>533</v>
      </c>
      <c r="AY1" s="822" t="s">
        <v>534</v>
      </c>
      <c r="AZ1" s="822" t="s">
        <v>535</v>
      </c>
      <c r="BA1" s="822" t="s">
        <v>536</v>
      </c>
      <c r="BB1" s="822" t="s">
        <v>537</v>
      </c>
      <c r="BC1" s="822" t="s">
        <v>538</v>
      </c>
      <c r="BD1" s="822" t="s">
        <v>539</v>
      </c>
      <c r="BE1" s="822" t="s">
        <v>540</v>
      </c>
      <c r="BF1" s="822" t="s">
        <v>541</v>
      </c>
      <c r="BG1" s="822" t="s">
        <v>542</v>
      </c>
      <c r="BH1" s="822" t="s">
        <v>543</v>
      </c>
      <c r="BI1" s="822" t="s">
        <v>544</v>
      </c>
      <c r="BJ1" s="822" t="s">
        <v>561</v>
      </c>
      <c r="BK1" s="822" t="s">
        <v>589</v>
      </c>
      <c r="BL1" s="822" t="s">
        <v>590</v>
      </c>
      <c r="BM1" s="822" t="s">
        <v>591</v>
      </c>
      <c r="BN1" s="822" t="s">
        <v>592</v>
      </c>
      <c r="BO1" s="822" t="s">
        <v>593</v>
      </c>
      <c r="BP1" s="822" t="s">
        <v>594</v>
      </c>
      <c r="BQ1" s="822" t="s">
        <v>595</v>
      </c>
      <c r="BR1" s="822" t="s">
        <v>596</v>
      </c>
      <c r="BS1" s="822" t="s">
        <v>597</v>
      </c>
      <c r="BT1" s="822" t="s">
        <v>598</v>
      </c>
      <c r="BU1" s="822" t="s">
        <v>545</v>
      </c>
      <c r="BV1" s="822" t="s">
        <v>546</v>
      </c>
      <c r="BW1" s="822" t="s">
        <v>547</v>
      </c>
      <c r="BX1" s="822" t="s">
        <v>550</v>
      </c>
      <c r="BY1" s="822" t="s">
        <v>552</v>
      </c>
      <c r="BZ1" s="822" t="s">
        <v>554</v>
      </c>
      <c r="CA1" s="822" t="s">
        <v>601</v>
      </c>
      <c r="CB1" s="822" t="s">
        <v>548</v>
      </c>
      <c r="CC1" s="822" t="s">
        <v>549</v>
      </c>
      <c r="CD1" s="822" t="s">
        <v>551</v>
      </c>
      <c r="CE1" s="822" t="s">
        <v>600</v>
      </c>
      <c r="CF1" s="822" t="s">
        <v>553</v>
      </c>
      <c r="CG1" s="822" t="s">
        <v>563</v>
      </c>
      <c r="CH1" s="822" t="s">
        <v>562</v>
      </c>
    </row>
    <row r="2" spans="1:86" x14ac:dyDescent="0.25">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s="818" t="e">
        <f>#REF!</f>
        <v>#REF!</v>
      </c>
      <c r="N2" t="e">
        <f>#REF!</f>
        <v>#REF!</v>
      </c>
      <c r="O2" t="e">
        <f>#REF!</f>
        <v>#REF!</v>
      </c>
      <c r="P2" t="e">
        <f>#REF!</f>
        <v>#REF!</v>
      </c>
      <c r="Q2" t="e">
        <f>#REF!</f>
        <v>#REF!</v>
      </c>
      <c r="R2" t="e">
        <f>#REF!</f>
        <v>#REF!</v>
      </c>
      <c r="S2" t="e">
        <f>#REF!</f>
        <v>#REF!</v>
      </c>
      <c r="T2" t="e">
        <f>#REF!</f>
        <v>#REF!</v>
      </c>
      <c r="U2" t="e">
        <f>#REF!</f>
        <v>#REF!</v>
      </c>
      <c r="V2" s="819" t="e">
        <f>#REF!</f>
        <v>#REF!</v>
      </c>
      <c r="W2" t="e">
        <f>#REF!</f>
        <v>#REF!</v>
      </c>
      <c r="X2" t="e">
        <f>#REF!</f>
        <v>#REF!</v>
      </c>
      <c r="Y2" s="820" t="e">
        <f>#REF!</f>
        <v>#REF!</v>
      </c>
      <c r="Z2" t="e">
        <f>#REF!</f>
        <v>#REF!</v>
      </c>
      <c r="AA2" t="e">
        <f>#REF!</f>
        <v>#REF!</v>
      </c>
      <c r="AB2" t="e">
        <f>#REF!</f>
        <v>#REF!</v>
      </c>
      <c r="AC2" t="e">
        <f>#REF!</f>
        <v>#REF!</v>
      </c>
      <c r="AD2" t="e">
        <f>#REF!</f>
        <v>#REF!</v>
      </c>
      <c r="AE2" t="e">
        <f>#REF!</f>
        <v>#REF!</v>
      </c>
      <c r="AF2" t="e">
        <f>#REF!</f>
        <v>#REF!</v>
      </c>
      <c r="AG2" t="e">
        <f>#REF!</f>
        <v>#REF!</v>
      </c>
      <c r="AH2" s="819"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s="821" t="e">
        <f>#REF!</f>
        <v>#REF!</v>
      </c>
      <c r="AX2" s="819" t="e">
        <f>#REF!</f>
        <v>#REF!</v>
      </c>
      <c r="AY2" s="819"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F16ED76B0231498EB2B519F836E63B" ma:contentTypeVersion="0" ma:contentTypeDescription="Create a new document." ma:contentTypeScope="" ma:versionID="711864bedf313a24fbf1d59dcabd2fa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304CD-A78A-422A-9139-161FAF9867A0}">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F25F1A0-3258-4F03-A533-803B03E78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891BA7-CF21-40B3-9B9B-E9C1B78422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Validation</vt:lpstr>
      <vt:lpstr>Home Mover AIP</vt:lpstr>
      <vt:lpstr>Daft Rents</vt:lpstr>
      <vt:lpstr>Daft Yields</vt:lpstr>
      <vt:lpstr>Home Loan - MDIR</vt:lpstr>
      <vt:lpstr>Self Build - AIP</vt:lpstr>
      <vt:lpstr>BTL Template</vt:lpstr>
      <vt:lpstr>Home Loan AIP</vt:lpstr>
      <vt:lpstr>Funds Flow</vt:lpstr>
      <vt:lpstr>TAX Rates</vt:lpstr>
      <vt:lpstr>Data</vt:lpstr>
      <vt:lpstr>'BTL Template'!Print_Area</vt:lpstr>
      <vt:lpstr>'Daft Yields'!Print_Area</vt:lpstr>
      <vt:lpstr>'Home Loan - MDIR'!Print_Area</vt:lpstr>
      <vt:lpstr>'Home Loan AIP'!Print_Area</vt:lpstr>
      <vt:lpstr>'Home Mover AIP'!Print_Area</vt:lpstr>
      <vt:lpstr>'Self Build - AIP'!Print_Area</vt:lpstr>
      <vt:lpstr>'TAX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Kenneth.McGrath@PermanentTSB.ie</dc:creator>
  <cp:lastModifiedBy>Swetha</cp:lastModifiedBy>
  <cp:lastPrinted>2015-11-02T09:51:59Z</cp:lastPrinted>
  <dcterms:created xsi:type="dcterms:W3CDTF">2013-04-11T10:59:27Z</dcterms:created>
  <dcterms:modified xsi:type="dcterms:W3CDTF">2019-01-11T11:48:49Z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0x01010008F16ED76B0231498EB2B519F836E63B</vt:lpwstr>
  </property>
  <property fmtid="{D5CDD505-2E9C-101B-9397-08002B2CF9AE}" pid="3" name="_NewReviewCycle">
    <vt:lpwstr/>
  </property>
</Properties>
</file>